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d.docs.live.net/70adecd30587d0d4/Documents/myRetirementBudget.net/"/>
    </mc:Choice>
  </mc:AlternateContent>
  <xr:revisionPtr revIDLastSave="8834" documentId="8_{6DDC4EC5-7491-407C-B87A-1AEB93F2276A}" xr6:coauthVersionLast="47" xr6:coauthVersionMax="47" xr10:uidLastSave="{93194146-6952-4026-AFE4-9B0BE5BC06FD}"/>
  <workbookProtection workbookAlgorithmName="SHA-512" workbookHashValue="IStjlTubOcoV1vtZ3Cfq/OCdGQCDScLrEsx0ky4ZugNFV2//+7r6qtn/fK7dzokpzJuiDwkjjwSpcN3ifDBiNg==" workbookSaltValue="pnDAg8ak9eXXbKzIiuigIg==" workbookSpinCount="100000" lockStructure="1"/>
  <bookViews>
    <workbookView xWindow="3510" yWindow="0" windowWidth="23265" windowHeight="20985" tabRatio="574" activeTab="1" xr2:uid="{00000000-000D-0000-FFFF-FFFF00000000}"/>
  </bookViews>
  <sheets>
    <sheet name="Welcome" sheetId="20" r:id="rId1"/>
    <sheet name="retirement income vs spending" sheetId="13" r:id="rId2"/>
    <sheet name="Total Savings" sheetId="14" r:id="rId3"/>
    <sheet name="Total Income" sheetId="12" r:id="rId4"/>
    <sheet name="Total Expenses" sheetId="5" r:id="rId5"/>
    <sheet name="Assumptions" sheetId="17" r:id="rId6"/>
    <sheet name="Expenses (1)" sheetId="4" r:id="rId7"/>
    <sheet name="Expenses (2)" sheetId="6" r:id="rId8"/>
    <sheet name="Expenses (3)" sheetId="7" r:id="rId9"/>
    <sheet name="Expenses (4)" sheetId="22" r:id="rId10"/>
    <sheet name="Expenses (5)" sheetId="8" r:id="rId11"/>
    <sheet name="Expenses (6)" sheetId="9" r:id="rId12"/>
    <sheet name="Expenses (7)" sheetId="11" r:id="rId13"/>
    <sheet name="Expenses (8)" sheetId="23" r:id="rId14"/>
    <sheet name="Debt Payments" sheetId="21" r:id="rId15"/>
    <sheet name="Projections" sheetId="16" state="hidden" r:id="rId16"/>
    <sheet name="Charts" sheetId="18" state="hidden" r:id="rId17"/>
    <sheet name="Tables" sheetId="19" state="hidden" r:id="rId18"/>
  </sheets>
  <definedNames>
    <definedName name="CPI">#REF!</definedName>
    <definedName name="inflation">#REF!</definedName>
    <definedName name="MedicalPlanUtilizationOptions">Tables!$L$38:$L$40</definedName>
    <definedName name="return">#REF!</definedName>
    <definedName name="utilizatio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7" l="1"/>
  <c r="F63" i="19"/>
  <c r="B46" i="16"/>
  <c r="C46" i="16" s="1"/>
  <c r="D46" i="16" s="1"/>
  <c r="E46" i="16" s="1"/>
  <c r="F46" i="16" s="1"/>
  <c r="G46" i="16" s="1"/>
  <c r="H46" i="16" s="1"/>
  <c r="I46" i="16" s="1"/>
  <c r="J46" i="16" s="1"/>
  <c r="K46" i="16" s="1"/>
  <c r="L46" i="16" s="1"/>
  <c r="M46" i="16" s="1"/>
  <c r="N46" i="16" s="1"/>
  <c r="O46" i="16" s="1"/>
  <c r="P46" i="16" s="1"/>
  <c r="Q46" i="16" s="1"/>
  <c r="R46" i="16" s="1"/>
  <c r="S46" i="16" s="1"/>
  <c r="T46" i="16" s="1"/>
  <c r="U46" i="16" s="1"/>
  <c r="V46" i="16" s="1"/>
  <c r="W46" i="16" s="1"/>
  <c r="X46" i="16" s="1"/>
  <c r="Y46" i="16" s="1"/>
  <c r="Z46" i="16" s="1"/>
  <c r="AA46" i="16" s="1"/>
  <c r="AB46" i="16" s="1"/>
  <c r="AC46" i="16" s="1"/>
  <c r="AD46" i="16" s="1"/>
  <c r="AE46" i="16" s="1"/>
  <c r="AF46" i="16" s="1"/>
  <c r="AG46" i="16" s="1"/>
  <c r="AH46" i="16" s="1"/>
  <c r="AI46" i="16" s="1"/>
  <c r="AJ46" i="16" s="1"/>
  <c r="A62" i="16"/>
  <c r="A61" i="16"/>
  <c r="A60" i="16"/>
  <c r="A59" i="16"/>
  <c r="A58" i="16"/>
  <c r="A57" i="16"/>
  <c r="A56" i="16"/>
  <c r="B64" i="19"/>
  <c r="B63" i="19"/>
  <c r="B62" i="19"/>
  <c r="B61" i="19"/>
  <c r="B60" i="19"/>
  <c r="B59" i="19"/>
  <c r="B58" i="19"/>
  <c r="C14" i="5"/>
  <c r="B4" i="4"/>
  <c r="B4" i="6"/>
  <c r="Z47" i="13"/>
  <c r="C14" i="17"/>
  <c r="B102" i="16"/>
  <c r="AJ101" i="16"/>
  <c r="AI101" i="16"/>
  <c r="AH101" i="16"/>
  <c r="AG101" i="16"/>
  <c r="AF101" i="16"/>
  <c r="AE101" i="16"/>
  <c r="AD101" i="16"/>
  <c r="AC101" i="16"/>
  <c r="AB101" i="16"/>
  <c r="AA101" i="16"/>
  <c r="Z101" i="16"/>
  <c r="Y101" i="16"/>
  <c r="X101" i="16"/>
  <c r="W101" i="16"/>
  <c r="V101" i="16"/>
  <c r="U101" i="16"/>
  <c r="T101" i="16"/>
  <c r="S101" i="16"/>
  <c r="R101" i="16"/>
  <c r="Q101" i="16"/>
  <c r="P101" i="16"/>
  <c r="O101" i="16"/>
  <c r="N101" i="16"/>
  <c r="M101" i="16"/>
  <c r="L101" i="16"/>
  <c r="K101" i="16"/>
  <c r="J101" i="16"/>
  <c r="I101" i="16"/>
  <c r="H101" i="16"/>
  <c r="G101" i="16"/>
  <c r="F101" i="16"/>
  <c r="E101" i="16"/>
  <c r="D101" i="16"/>
  <c r="C101" i="16"/>
  <c r="B101" i="16"/>
  <c r="B103" i="16" s="1"/>
  <c r="M10" i="19"/>
  <c r="F48" i="18"/>
  <c r="M13" i="19"/>
  <c r="M45" i="19"/>
  <c r="D51" i="18"/>
  <c r="D52" i="18" s="1"/>
  <c r="D53" i="18" s="1"/>
  <c r="D54" i="18" s="1"/>
  <c r="D55" i="18" s="1"/>
  <c r="D56" i="18" s="1"/>
  <c r="D57" i="18" s="1"/>
  <c r="D58" i="18" s="1"/>
  <c r="D59" i="18" s="1"/>
  <c r="D60" i="18" s="1"/>
  <c r="D61" i="18" s="1"/>
  <c r="D62" i="18" s="1"/>
  <c r="D63" i="18" s="1"/>
  <c r="D64" i="18" s="1"/>
  <c r="D65" i="18" s="1"/>
  <c r="D66" i="18" s="1"/>
  <c r="D67" i="18" s="1"/>
  <c r="D68" i="18" s="1"/>
  <c r="D69" i="18" s="1"/>
  <c r="D70" i="18" s="1"/>
  <c r="D71" i="18" s="1"/>
  <c r="D72" i="18" s="1"/>
  <c r="D73" i="18" s="1"/>
  <c r="D74" i="18" s="1"/>
  <c r="D75" i="18" s="1"/>
  <c r="D76" i="18" s="1"/>
  <c r="D77" i="18" s="1"/>
  <c r="D78" i="18" s="1"/>
  <c r="D79" i="18" s="1"/>
  <c r="D80" i="18" s="1"/>
  <c r="D81" i="18" s="1"/>
  <c r="D82" i="18" s="1"/>
  <c r="D83" i="18" s="1"/>
  <c r="D84" i="18" s="1"/>
  <c r="D85" i="18" s="1"/>
  <c r="D86" i="18" s="1"/>
  <c r="D87" i="18" s="1"/>
  <c r="D88" i="18" s="1"/>
  <c r="D89" i="18" s="1"/>
  <c r="D90" i="18" s="1"/>
  <c r="D91" i="18" s="1"/>
  <c r="D92" i="18" s="1"/>
  <c r="D93" i="18" s="1"/>
  <c r="D94" i="18" s="1"/>
  <c r="D95" i="18" s="1"/>
  <c r="D96" i="18" s="1"/>
  <c r="D97" i="18" s="1"/>
  <c r="D98" i="18" s="1"/>
  <c r="D99" i="18" s="1"/>
  <c r="D100" i="18" s="1"/>
  <c r="D101" i="18" s="1"/>
  <c r="D102" i="18" s="1"/>
  <c r="D103" i="18" s="1"/>
  <c r="D104" i="18" s="1"/>
  <c r="D105" i="18" s="1"/>
  <c r="D106" i="18" s="1"/>
  <c r="D107" i="18" s="1"/>
  <c r="D108" i="18" s="1"/>
  <c r="D109" i="18" s="1"/>
  <c r="D110" i="18" s="1"/>
  <c r="B43" i="18" l="1"/>
  <c r="B96" i="16" s="1"/>
  <c r="B94" i="16"/>
  <c r="C93" i="16"/>
  <c r="B93" i="16"/>
  <c r="G7" i="14"/>
  <c r="E21" i="6"/>
  <c r="J14" i="12"/>
  <c r="I14" i="12"/>
  <c r="J13" i="12"/>
  <c r="I13" i="12"/>
  <c r="J12" i="12"/>
  <c r="I12" i="12"/>
  <c r="J9" i="12"/>
  <c r="I9" i="12"/>
  <c r="J8" i="12"/>
  <c r="I8" i="12"/>
  <c r="J7" i="12"/>
  <c r="I7" i="12"/>
  <c r="J6" i="12"/>
  <c r="I6" i="12"/>
  <c r="G7" i="12"/>
  <c r="G8" i="12" s="1"/>
  <c r="G9" i="12" s="1"/>
  <c r="G10" i="12" s="1"/>
  <c r="I5" i="12"/>
  <c r="J5" i="12"/>
  <c r="D95" i="16"/>
  <c r="C96" i="16"/>
  <c r="C95" i="16"/>
  <c r="B95" i="16"/>
  <c r="B92" i="16"/>
  <c r="C91" i="16"/>
  <c r="B91" i="16"/>
  <c r="B90" i="16"/>
  <c r="A5" i="16"/>
  <c r="I34" i="18"/>
  <c r="B34" i="18"/>
  <c r="B35" i="18" s="1"/>
  <c r="D1" i="17"/>
  <c r="C1" i="14"/>
  <c r="C1" i="12"/>
  <c r="C1" i="5"/>
  <c r="C1" i="22"/>
  <c r="B4" i="20"/>
  <c r="B11" i="20"/>
  <c r="B10" i="20"/>
  <c r="B9" i="20"/>
  <c r="B8" i="20"/>
  <c r="A11" i="5"/>
  <c r="A15" i="5"/>
  <c r="C15" i="5"/>
  <c r="A10" i="5"/>
  <c r="A9" i="5"/>
  <c r="A8" i="5"/>
  <c r="A7" i="5"/>
  <c r="A6" i="5"/>
  <c r="A5" i="5"/>
  <c r="C11" i="5"/>
  <c r="C10" i="5"/>
  <c r="C9" i="5"/>
  <c r="C8" i="5"/>
  <c r="C7" i="5"/>
  <c r="C6" i="5"/>
  <c r="C5" i="5"/>
  <c r="A4" i="5"/>
  <c r="C4" i="5"/>
  <c r="C1" i="21"/>
  <c r="C1" i="23"/>
  <c r="C1" i="11"/>
  <c r="C1" i="9"/>
  <c r="C1" i="8"/>
  <c r="C1" i="7"/>
  <c r="C1" i="6"/>
  <c r="C1" i="4"/>
  <c r="H10" i="12"/>
  <c r="I10" i="12" s="1"/>
  <c r="A87" i="16"/>
  <c r="A86" i="16"/>
  <c r="A85" i="16"/>
  <c r="A84" i="16"/>
  <c r="A83" i="16"/>
  <c r="A80" i="16"/>
  <c r="A79" i="16"/>
  <c r="A78" i="16"/>
  <c r="A77" i="16"/>
  <c r="A76" i="16"/>
  <c r="G182" i="19"/>
  <c r="M59" i="19"/>
  <c r="M48" i="19"/>
  <c r="M43" i="19"/>
  <c r="B174" i="19" s="1"/>
  <c r="M56" i="19"/>
  <c r="G165" i="19"/>
  <c r="G164" i="19"/>
  <c r="G163" i="19"/>
  <c r="G162" i="19"/>
  <c r="G161" i="19"/>
  <c r="G160" i="19"/>
  <c r="G159" i="19"/>
  <c r="G158" i="19"/>
  <c r="G157" i="19"/>
  <c r="G156" i="19"/>
  <c r="G155" i="19"/>
  <c r="G154" i="19"/>
  <c r="G153" i="19"/>
  <c r="G152" i="19"/>
  <c r="G151" i="19"/>
  <c r="G150" i="19"/>
  <c r="G149" i="19"/>
  <c r="G148" i="19"/>
  <c r="G147" i="19"/>
  <c r="G146" i="19"/>
  <c r="G145" i="19"/>
  <c r="G144" i="19"/>
  <c r="G143" i="19"/>
  <c r="G142" i="19"/>
  <c r="G141" i="19"/>
  <c r="G140" i="19"/>
  <c r="G139" i="19"/>
  <c r="G138" i="19"/>
  <c r="G137" i="19"/>
  <c r="G136" i="19"/>
  <c r="G135" i="19"/>
  <c r="G134" i="19"/>
  <c r="G133" i="19"/>
  <c r="G132" i="19"/>
  <c r="G131" i="19"/>
  <c r="G130" i="19"/>
  <c r="G129" i="19"/>
  <c r="G128" i="19"/>
  <c r="G127" i="19"/>
  <c r="G126" i="19"/>
  <c r="G125" i="19"/>
  <c r="G124" i="19"/>
  <c r="G123" i="19"/>
  <c r="G122" i="19"/>
  <c r="G121" i="19"/>
  <c r="G120" i="19"/>
  <c r="G119" i="19"/>
  <c r="G118" i="19"/>
  <c r="G117" i="19"/>
  <c r="G116" i="19"/>
  <c r="G115" i="19"/>
  <c r="G114" i="19"/>
  <c r="G113" i="19"/>
  <c r="G112" i="19"/>
  <c r="G111" i="19"/>
  <c r="G110" i="19"/>
  <c r="G109" i="19"/>
  <c r="G108" i="19"/>
  <c r="G107" i="19"/>
  <c r="G106" i="19"/>
  <c r="G105" i="19"/>
  <c r="G104" i="19"/>
  <c r="G103" i="19"/>
  <c r="G102" i="19"/>
  <c r="G101" i="19"/>
  <c r="G100" i="19"/>
  <c r="G99" i="19"/>
  <c r="G98" i="19"/>
  <c r="G97" i="19"/>
  <c r="G96" i="19"/>
  <c r="G95" i="19"/>
  <c r="G94" i="19"/>
  <c r="G93" i="19"/>
  <c r="G92" i="19"/>
  <c r="G91" i="19"/>
  <c r="G90" i="19"/>
  <c r="G89" i="19"/>
  <c r="G88" i="19"/>
  <c r="G87" i="19"/>
  <c r="G86" i="19"/>
  <c r="G85" i="19"/>
  <c r="G84" i="19"/>
  <c r="B104" i="16" s="1"/>
  <c r="B100" i="16" s="1"/>
  <c r="B10" i="16" s="1"/>
  <c r="G83" i="19"/>
  <c r="G82" i="19"/>
  <c r="G81" i="19"/>
  <c r="G80" i="19"/>
  <c r="G79" i="19"/>
  <c r="G78" i="19"/>
  <c r="G77" i="19"/>
  <c r="G76" i="19"/>
  <c r="G75" i="19"/>
  <c r="G74" i="19"/>
  <c r="G73" i="19"/>
  <c r="G72" i="19"/>
  <c r="G71" i="19"/>
  <c r="G70" i="19"/>
  <c r="A22" i="20"/>
  <c r="A21" i="20"/>
  <c r="A20" i="20"/>
  <c r="A19" i="20"/>
  <c r="A18" i="20"/>
  <c r="A17" i="20"/>
  <c r="A16" i="20"/>
  <c r="A15" i="20"/>
  <c r="A14" i="20"/>
  <c r="B5" i="4"/>
  <c r="F21" i="23"/>
  <c r="E21" i="23"/>
  <c r="F13" i="23"/>
  <c r="B4" i="23" s="1"/>
  <c r="E13" i="23"/>
  <c r="F3" i="23"/>
  <c r="B3" i="23" s="1"/>
  <c r="E3" i="23"/>
  <c r="F24" i="22"/>
  <c r="B6" i="22" s="1"/>
  <c r="E24" i="22"/>
  <c r="F17" i="22"/>
  <c r="B5" i="22" s="1"/>
  <c r="E17" i="22"/>
  <c r="F10" i="22"/>
  <c r="B4" i="22" s="1"/>
  <c r="E10" i="22"/>
  <c r="F3" i="22"/>
  <c r="B3" i="22" s="1"/>
  <c r="E3" i="22"/>
  <c r="F21" i="11"/>
  <c r="B5" i="11" s="1"/>
  <c r="E21" i="11"/>
  <c r="F13" i="11"/>
  <c r="B4" i="11" s="1"/>
  <c r="E13" i="11"/>
  <c r="F3" i="11"/>
  <c r="B3" i="11" s="1"/>
  <c r="E3" i="11"/>
  <c r="E21" i="4"/>
  <c r="E20" i="9"/>
  <c r="E12" i="9"/>
  <c r="E3" i="9"/>
  <c r="F21" i="4"/>
  <c r="B28" i="12"/>
  <c r="F21" i="6"/>
  <c r="B7" i="6" s="1"/>
  <c r="B3" i="6"/>
  <c r="B1" i="21"/>
  <c r="E13" i="4"/>
  <c r="E3" i="4"/>
  <c r="B3" i="4"/>
  <c r="E13" i="6"/>
  <c r="E3" i="6"/>
  <c r="E24" i="8"/>
  <c r="E17" i="8"/>
  <c r="E10" i="8"/>
  <c r="E3" i="8"/>
  <c r="J10" i="12" l="1"/>
  <c r="J34" i="18"/>
  <c r="D94" i="16"/>
  <c r="G11" i="12"/>
  <c r="G12" i="12" s="1"/>
  <c r="G13" i="12" s="1"/>
  <c r="G14" i="12" s="1"/>
  <c r="G7" i="16"/>
  <c r="G8" i="16" s="1"/>
  <c r="H7" i="16"/>
  <c r="H8" i="16" s="1"/>
  <c r="I7" i="16"/>
  <c r="I8" i="16" s="1"/>
  <c r="J7" i="16"/>
  <c r="J8" i="16" s="1"/>
  <c r="T7" i="16"/>
  <c r="T8" i="16" s="1"/>
  <c r="U7" i="16"/>
  <c r="U8" i="16" s="1"/>
  <c r="V7" i="16"/>
  <c r="V8" i="16" s="1"/>
  <c r="AF7" i="16"/>
  <c r="AF8" i="16" s="1"/>
  <c r="AG7" i="16"/>
  <c r="AG8" i="16" s="1"/>
  <c r="AH7" i="16"/>
  <c r="AH8" i="16" s="1"/>
  <c r="B7" i="16"/>
  <c r="N7" i="16"/>
  <c r="N8" i="16" s="1"/>
  <c r="Z7" i="16"/>
  <c r="Z8" i="16" s="1"/>
  <c r="AA7" i="16"/>
  <c r="AA9" i="16" s="1"/>
  <c r="D7" i="16"/>
  <c r="D8" i="16" s="1"/>
  <c r="P7" i="16"/>
  <c r="P8" i="16" s="1"/>
  <c r="AB7" i="16"/>
  <c r="AB8" i="16" s="1"/>
  <c r="C7" i="16"/>
  <c r="C9" i="16" s="1"/>
  <c r="O7" i="16"/>
  <c r="O9" i="16" s="1"/>
  <c r="E7" i="16"/>
  <c r="E8" i="16" s="1"/>
  <c r="Q7" i="16"/>
  <c r="Q8" i="16" s="1"/>
  <c r="AC7" i="16"/>
  <c r="AC8" i="16" s="1"/>
  <c r="F7" i="16"/>
  <c r="F9" i="16" s="1"/>
  <c r="R7" i="16"/>
  <c r="R9" i="16" s="1"/>
  <c r="AD7" i="16"/>
  <c r="AD9" i="16" s="1"/>
  <c r="S7" i="16"/>
  <c r="S8" i="16" s="1"/>
  <c r="AE7" i="16"/>
  <c r="AE8" i="16" s="1"/>
  <c r="K7" i="16"/>
  <c r="K9" i="16" s="1"/>
  <c r="W7" i="16"/>
  <c r="W9" i="16" s="1"/>
  <c r="AI7" i="16"/>
  <c r="AI9" i="16" s="1"/>
  <c r="L7" i="16"/>
  <c r="L8" i="16" s="1"/>
  <c r="X7" i="16"/>
  <c r="X9" i="16" s="1"/>
  <c r="AJ7" i="16"/>
  <c r="AJ9" i="16" s="1"/>
  <c r="M7" i="16"/>
  <c r="M9" i="16" s="1"/>
  <c r="Y7" i="16"/>
  <c r="Y9" i="16" s="1"/>
  <c r="B171" i="19"/>
  <c r="B172" i="19"/>
  <c r="B175" i="19"/>
  <c r="B176" i="19"/>
  <c r="B177" i="19"/>
  <c r="B166" i="19"/>
  <c r="B178" i="19"/>
  <c r="B167" i="19"/>
  <c r="B179" i="19"/>
  <c r="B168" i="19"/>
  <c r="B180" i="19"/>
  <c r="B169" i="19"/>
  <c r="B181" i="19"/>
  <c r="B170" i="19"/>
  <c r="B182" i="19"/>
  <c r="B173" i="19"/>
  <c r="G169" i="19"/>
  <c r="G170" i="19"/>
  <c r="G177" i="19"/>
  <c r="G171" i="19"/>
  <c r="G172" i="19"/>
  <c r="G178" i="19"/>
  <c r="G179" i="19"/>
  <c r="G173" i="19"/>
  <c r="G180" i="19"/>
  <c r="G174" i="19"/>
  <c r="G166" i="19"/>
  <c r="G175" i="19"/>
  <c r="G181" i="19"/>
  <c r="G167" i="19"/>
  <c r="G168" i="19"/>
  <c r="G176" i="19"/>
  <c r="B8" i="4"/>
  <c r="B1" i="22"/>
  <c r="B7" i="5" s="1"/>
  <c r="B1" i="11"/>
  <c r="F13" i="4"/>
  <c r="B7" i="4" s="1"/>
  <c r="F3" i="4"/>
  <c r="B6" i="4" s="1"/>
  <c r="F10" i="8"/>
  <c r="F17" i="8"/>
  <c r="F24" i="8"/>
  <c r="B6" i="8" s="1"/>
  <c r="J23" i="19"/>
  <c r="J22" i="19"/>
  <c r="J21" i="19"/>
  <c r="J20" i="19"/>
  <c r="J19" i="19"/>
  <c r="J18" i="19"/>
  <c r="J17" i="19"/>
  <c r="J16" i="19"/>
  <c r="J15" i="19"/>
  <c r="J14" i="19"/>
  <c r="J13" i="19"/>
  <c r="J12" i="19"/>
  <c r="J11" i="19"/>
  <c r="J10" i="19"/>
  <c r="J9" i="19"/>
  <c r="J8" i="19"/>
  <c r="J7" i="19"/>
  <c r="J6" i="19"/>
  <c r="J5" i="19"/>
  <c r="J24" i="19"/>
  <c r="B13" i="12" l="1"/>
  <c r="AG9" i="16"/>
  <c r="V9" i="16"/>
  <c r="B8" i="16"/>
  <c r="B73" i="16"/>
  <c r="B16" i="18" s="1"/>
  <c r="B12" i="12"/>
  <c r="AF9" i="16"/>
  <c r="H9" i="16"/>
  <c r="G9" i="16"/>
  <c r="Y8" i="16"/>
  <c r="AE9" i="16"/>
  <c r="P9" i="16"/>
  <c r="C8" i="16"/>
  <c r="AA8" i="16"/>
  <c r="U9" i="16"/>
  <c r="O8" i="16"/>
  <c r="T9" i="16"/>
  <c r="W8" i="16"/>
  <c r="B9" i="16"/>
  <c r="R8" i="16"/>
  <c r="AH9" i="16"/>
  <c r="AB9" i="16"/>
  <c r="J9" i="16"/>
  <c r="K8" i="16"/>
  <c r="I9" i="16"/>
  <c r="M8" i="16"/>
  <c r="F8" i="16"/>
  <c r="AC9" i="16"/>
  <c r="AD8" i="16"/>
  <c r="N9" i="16"/>
  <c r="Q9" i="16"/>
  <c r="E9" i="16"/>
  <c r="S9" i="16"/>
  <c r="Z9" i="16"/>
  <c r="AJ8" i="16"/>
  <c r="X8" i="16"/>
  <c r="L9" i="16"/>
  <c r="D9" i="16"/>
  <c r="AI8" i="16"/>
  <c r="C16" i="7"/>
  <c r="D16" i="7"/>
  <c r="B16" i="7"/>
  <c r="B14" i="7"/>
  <c r="B14" i="5" s="1"/>
  <c r="B80" i="16" l="1"/>
  <c r="B79" i="16"/>
  <c r="B78" i="16"/>
  <c r="B77" i="16"/>
  <c r="B76" i="16"/>
  <c r="B87" i="16"/>
  <c r="B86" i="16"/>
  <c r="B85" i="16"/>
  <c r="B84" i="16"/>
  <c r="B83" i="16"/>
  <c r="B15" i="5"/>
  <c r="B31" i="16"/>
  <c r="A70" i="16"/>
  <c r="A69" i="16"/>
  <c r="D3" i="12"/>
  <c r="C3" i="14"/>
  <c r="C3" i="12"/>
  <c r="B3" i="14"/>
  <c r="A4" i="16"/>
  <c r="G8" i="14"/>
  <c r="G5" i="14"/>
  <c r="B24" i="16" s="1"/>
  <c r="G4" i="14"/>
  <c r="B1" i="14"/>
  <c r="G6" i="14"/>
  <c r="A6" i="19"/>
  <c r="A7" i="19" s="1"/>
  <c r="A8" i="19" s="1"/>
  <c r="A9" i="19" s="1"/>
  <c r="A10" i="19" s="1"/>
  <c r="A11" i="19" s="1"/>
  <c r="A12" i="19" s="1"/>
  <c r="A13" i="19" s="1"/>
  <c r="A14" i="19" s="1"/>
  <c r="A15" i="19" s="1"/>
  <c r="A16" i="19" s="1"/>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B1" i="12"/>
  <c r="B3" i="16"/>
  <c r="B4" i="16"/>
  <c r="B51" i="16" l="1"/>
  <c r="D21" i="12"/>
  <c r="C21" i="12"/>
  <c r="B25" i="16"/>
  <c r="B5" i="16"/>
  <c r="B98" i="16" s="1"/>
  <c r="B19" i="16" s="1"/>
  <c r="B4" i="18"/>
  <c r="B62" i="16"/>
  <c r="B61" i="16"/>
  <c r="B60" i="16"/>
  <c r="B59" i="16"/>
  <c r="B58" i="16"/>
  <c r="B57" i="16"/>
  <c r="C83" i="16"/>
  <c r="C76" i="16" s="1"/>
  <c r="D83" i="16" s="1"/>
  <c r="C85" i="16"/>
  <c r="C78" i="16" s="1"/>
  <c r="B14" i="16"/>
  <c r="B11" i="18" s="1"/>
  <c r="C87" i="16"/>
  <c r="C80" i="16" s="1"/>
  <c r="B82" i="16"/>
  <c r="C84" i="16"/>
  <c r="C77" i="16" s="1"/>
  <c r="D84" i="16" s="1"/>
  <c r="C86" i="16"/>
  <c r="C79" i="16" s="1"/>
  <c r="B75" i="16"/>
  <c r="B30" i="16" s="1"/>
  <c r="C11" i="12"/>
  <c r="D11" i="12"/>
  <c r="C15" i="12"/>
  <c r="D15" i="12"/>
  <c r="B69" i="16"/>
  <c r="C1" i="18"/>
  <c r="D1" i="18" s="1"/>
  <c r="E1" i="18" s="1"/>
  <c r="F1" i="18" s="1"/>
  <c r="G1" i="18" s="1"/>
  <c r="H1" i="18" s="1"/>
  <c r="I1" i="18" s="1"/>
  <c r="J1" i="18" s="1"/>
  <c r="K1" i="18" s="1"/>
  <c r="L1" i="18" s="1"/>
  <c r="M1" i="18" s="1"/>
  <c r="N1" i="18" s="1"/>
  <c r="O1" i="18" s="1"/>
  <c r="P1" i="18" s="1"/>
  <c r="Q1" i="18" s="1"/>
  <c r="R1" i="18" s="1"/>
  <c r="S1" i="18" s="1"/>
  <c r="T1" i="18" s="1"/>
  <c r="U1" i="18" s="1"/>
  <c r="V1" i="18" s="1"/>
  <c r="W1" i="18" s="1"/>
  <c r="X1" i="18" s="1"/>
  <c r="Y1" i="18" s="1"/>
  <c r="Z1" i="18" s="1"/>
  <c r="AA1" i="18" s="1"/>
  <c r="AB1" i="18" s="1"/>
  <c r="AC1" i="18" s="1"/>
  <c r="AD1" i="18" s="1"/>
  <c r="AE1" i="18" s="1"/>
  <c r="AF1" i="18" s="1"/>
  <c r="AG1" i="18" s="1"/>
  <c r="AH1" i="18" s="1"/>
  <c r="AI1" i="18" s="1"/>
  <c r="AJ1" i="18" s="1"/>
  <c r="B1" i="4"/>
  <c r="B23" i="16"/>
  <c r="C4" i="16"/>
  <c r="C3" i="16"/>
  <c r="C51" i="16" s="1"/>
  <c r="C1" i="16"/>
  <c r="B17" i="5"/>
  <c r="F3" i="8"/>
  <c r="B3" i="8" s="1"/>
  <c r="F13" i="6"/>
  <c r="B6" i="6" s="1"/>
  <c r="F3" i="6"/>
  <c r="B5" i="6" s="1"/>
  <c r="F20" i="9"/>
  <c r="B5" i="9" s="1"/>
  <c r="B52" i="16" l="1"/>
  <c r="C102" i="16"/>
  <c r="C103" i="16"/>
  <c r="C104" i="16"/>
  <c r="C100" i="16" s="1"/>
  <c r="C10" i="16" s="1"/>
  <c r="B18" i="16"/>
  <c r="B20" i="16"/>
  <c r="B3" i="18"/>
  <c r="B37" i="16"/>
  <c r="B36" i="16"/>
  <c r="C5" i="16"/>
  <c r="C4" i="18"/>
  <c r="C14" i="16"/>
  <c r="C11" i="18" s="1"/>
  <c r="B6" i="18"/>
  <c r="D86" i="16"/>
  <c r="D79" i="16" s="1"/>
  <c r="E86" i="16" s="1"/>
  <c r="D85" i="16"/>
  <c r="D78" i="16" s="1"/>
  <c r="D87" i="16"/>
  <c r="D80" i="16" s="1"/>
  <c r="B1" i="6"/>
  <c r="B5" i="5" s="1"/>
  <c r="B68" i="16"/>
  <c r="B70" i="16"/>
  <c r="B71" i="16" s="1"/>
  <c r="B17" i="18" s="1"/>
  <c r="D1" i="16"/>
  <c r="C73" i="16"/>
  <c r="C16" i="18" s="1"/>
  <c r="B17" i="16"/>
  <c r="B5" i="18" s="1"/>
  <c r="F12" i="9"/>
  <c r="B4" i="9" s="1"/>
  <c r="F3" i="9"/>
  <c r="D77" i="16"/>
  <c r="E84" i="16" s="1"/>
  <c r="B38" i="16"/>
  <c r="C82" i="16"/>
  <c r="B1" i="7"/>
  <c r="B6" i="5" s="1"/>
  <c r="D76" i="16"/>
  <c r="E83" i="16" s="1"/>
  <c r="C75" i="16"/>
  <c r="C30" i="16" s="1"/>
  <c r="C31" i="16"/>
  <c r="C69" i="16"/>
  <c r="D3" i="16"/>
  <c r="D51" i="16" s="1"/>
  <c r="B4" i="5"/>
  <c r="C59" i="16"/>
  <c r="D59" i="16" s="1"/>
  <c r="E59" i="16" s="1"/>
  <c r="F59" i="16" s="1"/>
  <c r="G59" i="16" s="1"/>
  <c r="H59" i="16" s="1"/>
  <c r="I59" i="16" s="1"/>
  <c r="J59" i="16" s="1"/>
  <c r="K59" i="16" s="1"/>
  <c r="L59" i="16" s="1"/>
  <c r="M59" i="16" s="1"/>
  <c r="N59" i="16" s="1"/>
  <c r="O59" i="16" s="1"/>
  <c r="P59" i="16" s="1"/>
  <c r="Q59" i="16" s="1"/>
  <c r="R59" i="16" s="1"/>
  <c r="S59" i="16" s="1"/>
  <c r="T59" i="16" s="1"/>
  <c r="U59" i="16" s="1"/>
  <c r="V59" i="16" s="1"/>
  <c r="W59" i="16" s="1"/>
  <c r="X59" i="16" s="1"/>
  <c r="Y59" i="16" s="1"/>
  <c r="Z59" i="16" s="1"/>
  <c r="AA59" i="16" s="1"/>
  <c r="AB59" i="16" s="1"/>
  <c r="AC59" i="16" s="1"/>
  <c r="AD59" i="16" s="1"/>
  <c r="AE59" i="16" s="1"/>
  <c r="AF59" i="16" s="1"/>
  <c r="AG59" i="16" s="1"/>
  <c r="AH59" i="16" s="1"/>
  <c r="AI59" i="16" s="1"/>
  <c r="AJ59" i="16" s="1"/>
  <c r="D4" i="16"/>
  <c r="C57" i="16"/>
  <c r="D57" i="16" s="1"/>
  <c r="E57" i="16" s="1"/>
  <c r="F57" i="16" s="1"/>
  <c r="G57" i="16" s="1"/>
  <c r="H57" i="16" s="1"/>
  <c r="I57" i="16" s="1"/>
  <c r="J57" i="16" s="1"/>
  <c r="K57" i="16" s="1"/>
  <c r="L57" i="16" s="1"/>
  <c r="M57" i="16" s="1"/>
  <c r="N57" i="16" s="1"/>
  <c r="O57" i="16" s="1"/>
  <c r="P57" i="16" s="1"/>
  <c r="Q57" i="16" s="1"/>
  <c r="R57" i="16" s="1"/>
  <c r="S57" i="16" s="1"/>
  <c r="T57" i="16" s="1"/>
  <c r="U57" i="16" s="1"/>
  <c r="V57" i="16" s="1"/>
  <c r="W57" i="16" s="1"/>
  <c r="X57" i="16" s="1"/>
  <c r="Y57" i="16" s="1"/>
  <c r="Z57" i="16" s="1"/>
  <c r="AA57" i="16" s="1"/>
  <c r="AB57" i="16" s="1"/>
  <c r="AC57" i="16" s="1"/>
  <c r="AD57" i="16" s="1"/>
  <c r="AE57" i="16" s="1"/>
  <c r="AF57" i="16" s="1"/>
  <c r="AG57" i="16" s="1"/>
  <c r="AH57" i="16" s="1"/>
  <c r="AI57" i="16" s="1"/>
  <c r="AJ57" i="16" s="1"/>
  <c r="C58" i="16"/>
  <c r="D58" i="16" s="1"/>
  <c r="E58" i="16" s="1"/>
  <c r="F58" i="16" s="1"/>
  <c r="G58" i="16" s="1"/>
  <c r="H58" i="16" s="1"/>
  <c r="I58" i="16" s="1"/>
  <c r="J58" i="16" s="1"/>
  <c r="K58" i="16" s="1"/>
  <c r="L58" i="16" s="1"/>
  <c r="M58" i="16" s="1"/>
  <c r="N58" i="16" s="1"/>
  <c r="O58" i="16" s="1"/>
  <c r="P58" i="16" s="1"/>
  <c r="Q58" i="16" s="1"/>
  <c r="R58" i="16" s="1"/>
  <c r="S58" i="16" s="1"/>
  <c r="T58" i="16" s="1"/>
  <c r="U58" i="16" s="1"/>
  <c r="V58" i="16" s="1"/>
  <c r="W58" i="16" s="1"/>
  <c r="X58" i="16" s="1"/>
  <c r="Y58" i="16" s="1"/>
  <c r="Z58" i="16" s="1"/>
  <c r="AA58" i="16" s="1"/>
  <c r="AB58" i="16" s="1"/>
  <c r="AC58" i="16" s="1"/>
  <c r="AD58" i="16" s="1"/>
  <c r="AE58" i="16" s="1"/>
  <c r="AF58" i="16" s="1"/>
  <c r="AG58" i="16" s="1"/>
  <c r="AH58" i="16" s="1"/>
  <c r="AI58" i="16" s="1"/>
  <c r="AJ58" i="16" s="1"/>
  <c r="C60" i="16"/>
  <c r="D60" i="16" s="1"/>
  <c r="E60" i="16" s="1"/>
  <c r="F60" i="16" s="1"/>
  <c r="G60" i="16" s="1"/>
  <c r="H60" i="16" s="1"/>
  <c r="I60" i="16" s="1"/>
  <c r="J60" i="16" s="1"/>
  <c r="K60" i="16" s="1"/>
  <c r="L60" i="16" s="1"/>
  <c r="M60" i="16" s="1"/>
  <c r="N60" i="16" s="1"/>
  <c r="O60" i="16" s="1"/>
  <c r="P60" i="16" s="1"/>
  <c r="Q60" i="16" s="1"/>
  <c r="R60" i="16" s="1"/>
  <c r="S60" i="16" s="1"/>
  <c r="T60" i="16" s="1"/>
  <c r="U60" i="16" s="1"/>
  <c r="V60" i="16" s="1"/>
  <c r="W60" i="16" s="1"/>
  <c r="X60" i="16" s="1"/>
  <c r="Y60" i="16" s="1"/>
  <c r="Z60" i="16" s="1"/>
  <c r="AA60" i="16" s="1"/>
  <c r="AB60" i="16" s="1"/>
  <c r="AC60" i="16" s="1"/>
  <c r="AD60" i="16" s="1"/>
  <c r="AE60" i="16" s="1"/>
  <c r="AF60" i="16" s="1"/>
  <c r="AG60" i="16" s="1"/>
  <c r="AH60" i="16" s="1"/>
  <c r="AI60" i="16" s="1"/>
  <c r="AJ60" i="16" s="1"/>
  <c r="C61" i="16"/>
  <c r="D61" i="16" s="1"/>
  <c r="E61" i="16" s="1"/>
  <c r="F61" i="16" s="1"/>
  <c r="G61" i="16" s="1"/>
  <c r="H61" i="16" s="1"/>
  <c r="I61" i="16" s="1"/>
  <c r="J61" i="16" s="1"/>
  <c r="K61" i="16" s="1"/>
  <c r="L61" i="16" s="1"/>
  <c r="M61" i="16" s="1"/>
  <c r="N61" i="16" s="1"/>
  <c r="O61" i="16" s="1"/>
  <c r="P61" i="16" s="1"/>
  <c r="Q61" i="16" s="1"/>
  <c r="R61" i="16" s="1"/>
  <c r="S61" i="16" s="1"/>
  <c r="T61" i="16" s="1"/>
  <c r="U61" i="16" s="1"/>
  <c r="V61" i="16" s="1"/>
  <c r="W61" i="16" s="1"/>
  <c r="X61" i="16" s="1"/>
  <c r="Y61" i="16" s="1"/>
  <c r="Z61" i="16" s="1"/>
  <c r="AA61" i="16" s="1"/>
  <c r="AB61" i="16" s="1"/>
  <c r="AC61" i="16" s="1"/>
  <c r="AD61" i="16" s="1"/>
  <c r="AE61" i="16" s="1"/>
  <c r="AF61" i="16" s="1"/>
  <c r="AG61" i="16" s="1"/>
  <c r="AH61" i="16" s="1"/>
  <c r="AI61" i="16" s="1"/>
  <c r="AJ61" i="16" s="1"/>
  <c r="G3" i="14"/>
  <c r="B10" i="5"/>
  <c r="C62" i="16"/>
  <c r="D62" i="16" s="1"/>
  <c r="E62" i="16" s="1"/>
  <c r="F62" i="16" s="1"/>
  <c r="G62" i="16" s="1"/>
  <c r="H62" i="16" s="1"/>
  <c r="I62" i="16" s="1"/>
  <c r="J62" i="16" s="1"/>
  <c r="K62" i="16" s="1"/>
  <c r="L62" i="16" s="1"/>
  <c r="M62" i="16" s="1"/>
  <c r="N62" i="16" s="1"/>
  <c r="O62" i="16" s="1"/>
  <c r="P62" i="16" s="1"/>
  <c r="Q62" i="16" s="1"/>
  <c r="R62" i="16" s="1"/>
  <c r="S62" i="16" s="1"/>
  <c r="T62" i="16" s="1"/>
  <c r="U62" i="16" s="1"/>
  <c r="V62" i="16" s="1"/>
  <c r="W62" i="16" s="1"/>
  <c r="X62" i="16" s="1"/>
  <c r="Y62" i="16" s="1"/>
  <c r="Z62" i="16" s="1"/>
  <c r="AA62" i="16" s="1"/>
  <c r="AB62" i="16" s="1"/>
  <c r="AC62" i="16" s="1"/>
  <c r="AD62" i="16" s="1"/>
  <c r="AE62" i="16" s="1"/>
  <c r="AF62" i="16" s="1"/>
  <c r="AG62" i="16" s="1"/>
  <c r="AH62" i="16" s="1"/>
  <c r="AI62" i="16" s="1"/>
  <c r="AJ62" i="16" s="1"/>
  <c r="B5" i="8"/>
  <c r="B4" i="8"/>
  <c r="C98" i="16" l="1"/>
  <c r="C19" i="16" s="1"/>
  <c r="C6" i="18" s="1"/>
  <c r="C52" i="16"/>
  <c r="D103" i="16"/>
  <c r="D102" i="16"/>
  <c r="D104" i="16"/>
  <c r="D100" i="16" s="1"/>
  <c r="D10" i="16" s="1"/>
  <c r="B1" i="8"/>
  <c r="B8" i="5" s="1"/>
  <c r="C18" i="16"/>
  <c r="C36" i="16"/>
  <c r="C37" i="16"/>
  <c r="C3" i="18"/>
  <c r="C20" i="16"/>
  <c r="D5" i="16"/>
  <c r="D52" i="16" s="1"/>
  <c r="D4" i="18"/>
  <c r="B7" i="18"/>
  <c r="B8" i="18" s="1"/>
  <c r="B16" i="16"/>
  <c r="E85" i="16"/>
  <c r="E78" i="16" s="1"/>
  <c r="F85" i="16" s="1"/>
  <c r="E77" i="16"/>
  <c r="F84" i="16" s="1"/>
  <c r="F77" i="16" s="1"/>
  <c r="D82" i="16"/>
  <c r="E87" i="16"/>
  <c r="E80" i="16" s="1"/>
  <c r="F87" i="16" s="1"/>
  <c r="C68" i="16"/>
  <c r="C17" i="16"/>
  <c r="C5" i="18" s="1"/>
  <c r="C38" i="16"/>
  <c r="C70" i="16"/>
  <c r="D14" i="16"/>
  <c r="E1" i="16"/>
  <c r="D73" i="16"/>
  <c r="D16" i="18" s="1"/>
  <c r="B35" i="16"/>
  <c r="B29" i="16" s="1"/>
  <c r="B3" i="9"/>
  <c r="B39" i="16"/>
  <c r="C23" i="16" s="1"/>
  <c r="E79" i="16"/>
  <c r="F86" i="16" s="1"/>
  <c r="D75" i="16"/>
  <c r="D30" i="16" s="1"/>
  <c r="D31" i="16"/>
  <c r="D69" i="16"/>
  <c r="E3" i="16"/>
  <c r="E51" i="16" s="1"/>
  <c r="B22" i="16"/>
  <c r="E4" i="16"/>
  <c r="E102" i="16" l="1"/>
  <c r="E103" i="16"/>
  <c r="E104" i="16"/>
  <c r="E100" i="16" s="1"/>
  <c r="E10" i="16" s="1"/>
  <c r="D18" i="16"/>
  <c r="D98" i="16"/>
  <c r="D19" i="16" s="1"/>
  <c r="D6" i="18" s="1"/>
  <c r="D3" i="18"/>
  <c r="D20" i="16"/>
  <c r="D36" i="16"/>
  <c r="D37" i="16"/>
  <c r="E5" i="16"/>
  <c r="E52" i="16" s="1"/>
  <c r="E4" i="18"/>
  <c r="B45" i="16"/>
  <c r="B15" i="18"/>
  <c r="C16" i="16"/>
  <c r="D68" i="16"/>
  <c r="C7" i="18"/>
  <c r="C8" i="18" s="1"/>
  <c r="D17" i="16"/>
  <c r="D5" i="18" s="1"/>
  <c r="D38" i="16"/>
  <c r="D70" i="16"/>
  <c r="D71" i="16" s="1"/>
  <c r="D17" i="18" s="1"/>
  <c r="F80" i="16"/>
  <c r="G87" i="16" s="1"/>
  <c r="G80" i="16" s="1"/>
  <c r="H87" i="16" s="1"/>
  <c r="C35" i="16"/>
  <c r="C29" i="16" s="1"/>
  <c r="C39" i="16"/>
  <c r="B1" i="9"/>
  <c r="B9" i="5" s="1"/>
  <c r="C71" i="16"/>
  <c r="C17" i="18" s="1"/>
  <c r="B13" i="16"/>
  <c r="E14" i="16"/>
  <c r="E11" i="18" s="1"/>
  <c r="F1" i="16"/>
  <c r="E73" i="16"/>
  <c r="E16" i="18" s="1"/>
  <c r="B44" i="16"/>
  <c r="B43" i="16"/>
  <c r="G84" i="16"/>
  <c r="F78" i="16"/>
  <c r="G85" i="16" s="1"/>
  <c r="E76" i="16"/>
  <c r="F83" i="16" s="1"/>
  <c r="E82" i="16"/>
  <c r="D11" i="18"/>
  <c r="E31" i="16"/>
  <c r="F3" i="16"/>
  <c r="F51" i="16" s="1"/>
  <c r="F4" i="16"/>
  <c r="E69" i="16"/>
  <c r="C45" i="16" l="1"/>
  <c r="D45" i="16" s="1"/>
  <c r="E45" i="16" s="1"/>
  <c r="F45" i="16" s="1"/>
  <c r="F102" i="16"/>
  <c r="F103" i="16"/>
  <c r="F104" i="16"/>
  <c r="F100" i="16" s="1"/>
  <c r="F10" i="16" s="1"/>
  <c r="E98" i="16"/>
  <c r="E19" i="16" s="1"/>
  <c r="E6" i="18" s="1"/>
  <c r="E18" i="16"/>
  <c r="E38" i="16"/>
  <c r="E3" i="18"/>
  <c r="E20" i="16"/>
  <c r="E36" i="16"/>
  <c r="E37" i="16"/>
  <c r="F5" i="16"/>
  <c r="F4" i="18"/>
  <c r="F14" i="16"/>
  <c r="F11" i="18" s="1"/>
  <c r="D7" i="18"/>
  <c r="D8" i="18" s="1"/>
  <c r="D16" i="16"/>
  <c r="E17" i="16"/>
  <c r="E5" i="18" s="1"/>
  <c r="E68" i="16"/>
  <c r="D35" i="16"/>
  <c r="D29" i="16" s="1"/>
  <c r="E70" i="16"/>
  <c r="C43" i="16"/>
  <c r="D23" i="16"/>
  <c r="D39" i="16" s="1"/>
  <c r="G1" i="16"/>
  <c r="F73" i="16"/>
  <c r="F16" i="18" s="1"/>
  <c r="B14" i="18"/>
  <c r="G77" i="16"/>
  <c r="G78" i="16"/>
  <c r="H85" i="16" s="1"/>
  <c r="H80" i="16"/>
  <c r="I87" i="16" s="1"/>
  <c r="F82" i="16"/>
  <c r="E75" i="16"/>
  <c r="E30" i="16" s="1"/>
  <c r="F76" i="16"/>
  <c r="G83" i="16" s="1"/>
  <c r="F79" i="16"/>
  <c r="G86" i="16" s="1"/>
  <c r="E13" i="16"/>
  <c r="E12" i="16" s="1"/>
  <c r="C13" i="16"/>
  <c r="D13" i="16"/>
  <c r="F31" i="16"/>
  <c r="B10" i="18"/>
  <c r="B12" i="16"/>
  <c r="F13" i="16"/>
  <c r="G3" i="16"/>
  <c r="G51" i="16" s="1"/>
  <c r="F69" i="16"/>
  <c r="G4" i="16"/>
  <c r="F17" i="16" l="1"/>
  <c r="F5" i="18" s="1"/>
  <c r="F52" i="16"/>
  <c r="G102" i="16"/>
  <c r="G103" i="16"/>
  <c r="G104" i="16"/>
  <c r="G100" i="16" s="1"/>
  <c r="G10" i="16" s="1"/>
  <c r="F3" i="18"/>
  <c r="F18" i="16"/>
  <c r="F98" i="16"/>
  <c r="F19" i="16" s="1"/>
  <c r="F6" i="18" s="1"/>
  <c r="F70" i="16"/>
  <c r="F71" i="16" s="1"/>
  <c r="F17" i="18" s="1"/>
  <c r="F20" i="16"/>
  <c r="F36" i="16"/>
  <c r="F37" i="16"/>
  <c r="G5" i="16"/>
  <c r="G52" i="16" s="1"/>
  <c r="G4" i="18"/>
  <c r="G14" i="16"/>
  <c r="G11" i="18" s="1"/>
  <c r="E16" i="16"/>
  <c r="E7" i="18"/>
  <c r="E8" i="18" s="1"/>
  <c r="E35" i="16"/>
  <c r="E29" i="16" s="1"/>
  <c r="F68" i="16"/>
  <c r="B13" i="18"/>
  <c r="F38" i="16"/>
  <c r="D43" i="16"/>
  <c r="E71" i="16"/>
  <c r="E17" i="18" s="1"/>
  <c r="E23" i="16"/>
  <c r="E39" i="16" s="1"/>
  <c r="H1" i="16"/>
  <c r="G73" i="16"/>
  <c r="G16" i="18" s="1"/>
  <c r="G45" i="16"/>
  <c r="H84" i="16"/>
  <c r="I80" i="16"/>
  <c r="H78" i="16"/>
  <c r="I85" i="16" s="1"/>
  <c r="G79" i="16"/>
  <c r="F75" i="16"/>
  <c r="F30" i="16" s="1"/>
  <c r="E10" i="18"/>
  <c r="G31" i="16"/>
  <c r="D10" i="18"/>
  <c r="D12" i="16"/>
  <c r="C10" i="18"/>
  <c r="C12" i="16"/>
  <c r="F10" i="18"/>
  <c r="F12" i="16"/>
  <c r="G13" i="16"/>
  <c r="H3" i="16"/>
  <c r="H51" i="16" s="1"/>
  <c r="H4" i="16"/>
  <c r="G69" i="16"/>
  <c r="H103" i="16" l="1"/>
  <c r="H102" i="16"/>
  <c r="H104" i="16"/>
  <c r="H100" i="16" s="1"/>
  <c r="H10" i="16" s="1"/>
  <c r="G3" i="18"/>
  <c r="G98" i="16"/>
  <c r="G19" i="16" s="1"/>
  <c r="G6" i="18" s="1"/>
  <c r="G68" i="16"/>
  <c r="G36" i="16"/>
  <c r="G37" i="16"/>
  <c r="G20" i="16"/>
  <c r="G18" i="16"/>
  <c r="H5" i="16"/>
  <c r="H4" i="18"/>
  <c r="G38" i="16"/>
  <c r="G17" i="16"/>
  <c r="G5" i="18" s="1"/>
  <c r="H14" i="16"/>
  <c r="H11" i="18" s="1"/>
  <c r="F35" i="16"/>
  <c r="F29" i="16" s="1"/>
  <c r="F7" i="18"/>
  <c r="F8" i="18" s="1"/>
  <c r="F16" i="16"/>
  <c r="E43" i="16"/>
  <c r="G70" i="16"/>
  <c r="F23" i="16"/>
  <c r="F39" i="16" s="1"/>
  <c r="I1" i="16"/>
  <c r="H73" i="16"/>
  <c r="H16" i="18" s="1"/>
  <c r="H45" i="16"/>
  <c r="H31" i="16"/>
  <c r="H77" i="16"/>
  <c r="H86" i="16"/>
  <c r="J87" i="16"/>
  <c r="I78" i="16"/>
  <c r="J85" i="16" s="1"/>
  <c r="G82" i="16"/>
  <c r="G76" i="16"/>
  <c r="H83" i="16" s="1"/>
  <c r="G10" i="18"/>
  <c r="G12" i="16"/>
  <c r="H13" i="16"/>
  <c r="I3" i="16"/>
  <c r="I51" i="16" s="1"/>
  <c r="H69" i="16"/>
  <c r="I4" i="16"/>
  <c r="H98" i="16" l="1"/>
  <c r="H19" i="16" s="1"/>
  <c r="H52" i="16"/>
  <c r="I103" i="16"/>
  <c r="I102" i="16"/>
  <c r="I104" i="16"/>
  <c r="I100" i="16" s="1"/>
  <c r="I10" i="16" s="1"/>
  <c r="H3" i="18"/>
  <c r="H70" i="16"/>
  <c r="H71" i="16" s="1"/>
  <c r="H17" i="18" s="1"/>
  <c r="H68" i="16"/>
  <c r="H36" i="16"/>
  <c r="H37" i="16"/>
  <c r="H20" i="16"/>
  <c r="H18" i="16"/>
  <c r="H17" i="16"/>
  <c r="H5" i="18" s="1"/>
  <c r="I5" i="16"/>
  <c r="I4" i="18"/>
  <c r="G35" i="16"/>
  <c r="G29" i="16" s="1"/>
  <c r="F43" i="16"/>
  <c r="G7" i="18"/>
  <c r="G8" i="18" s="1"/>
  <c r="I14" i="16"/>
  <c r="I11" i="18" s="1"/>
  <c r="H38" i="16"/>
  <c r="G16" i="16"/>
  <c r="H6" i="18"/>
  <c r="G71" i="16"/>
  <c r="G17" i="18" s="1"/>
  <c r="G23" i="16"/>
  <c r="G39" i="16" s="1"/>
  <c r="J1" i="16"/>
  <c r="I73" i="16"/>
  <c r="I16" i="18" s="1"/>
  <c r="I31" i="16"/>
  <c r="I45" i="16"/>
  <c r="I84" i="16"/>
  <c r="J80" i="16"/>
  <c r="H79" i="16"/>
  <c r="J78" i="16"/>
  <c r="K85" i="16" s="1"/>
  <c r="G75" i="16"/>
  <c r="G30" i="16" s="1"/>
  <c r="H76" i="16"/>
  <c r="I83" i="16" s="1"/>
  <c r="H12" i="16"/>
  <c r="H10" i="18"/>
  <c r="I13" i="16"/>
  <c r="J3" i="16"/>
  <c r="J51" i="16" s="1"/>
  <c r="J4" i="16"/>
  <c r="I69" i="16"/>
  <c r="I98" i="16" l="1"/>
  <c r="I19" i="16" s="1"/>
  <c r="I6" i="18" s="1"/>
  <c r="I52" i="16"/>
  <c r="J102" i="16"/>
  <c r="J103" i="16"/>
  <c r="J104" i="16"/>
  <c r="J100" i="16" s="1"/>
  <c r="J10" i="16" s="1"/>
  <c r="I3" i="18"/>
  <c r="H7" i="18"/>
  <c r="H8" i="18" s="1"/>
  <c r="I18" i="16"/>
  <c r="I36" i="16"/>
  <c r="I37" i="16"/>
  <c r="G43" i="16"/>
  <c r="I20" i="16"/>
  <c r="H35" i="16"/>
  <c r="H29" i="16" s="1"/>
  <c r="J5" i="16"/>
  <c r="J4" i="18"/>
  <c r="H16" i="16"/>
  <c r="I70" i="16"/>
  <c r="I38" i="16"/>
  <c r="I17" i="16"/>
  <c r="I5" i="18" s="1"/>
  <c r="I68" i="16"/>
  <c r="J14" i="16"/>
  <c r="J11" i="18" s="1"/>
  <c r="H23" i="16"/>
  <c r="H39" i="16" s="1"/>
  <c r="K1" i="16"/>
  <c r="J73" i="16"/>
  <c r="J16" i="18" s="1"/>
  <c r="J31" i="16"/>
  <c r="J45" i="16"/>
  <c r="I86" i="16"/>
  <c r="K87" i="16"/>
  <c r="I77" i="16"/>
  <c r="J84" i="16" s="1"/>
  <c r="K78" i="16"/>
  <c r="L85" i="16" s="1"/>
  <c r="H82" i="16"/>
  <c r="I76" i="16"/>
  <c r="H75" i="16"/>
  <c r="H30" i="16" s="1"/>
  <c r="I10" i="18"/>
  <c r="I12" i="16"/>
  <c r="K3" i="16"/>
  <c r="K51" i="16" s="1"/>
  <c r="J13" i="16"/>
  <c r="J69" i="16"/>
  <c r="K4" i="16"/>
  <c r="J3" i="18" l="1"/>
  <c r="J52" i="16"/>
  <c r="K102" i="16"/>
  <c r="K103" i="16"/>
  <c r="K104" i="16"/>
  <c r="K100" i="16" s="1"/>
  <c r="K10" i="16" s="1"/>
  <c r="J38" i="16"/>
  <c r="J98" i="16"/>
  <c r="J19" i="16" s="1"/>
  <c r="J6" i="18" s="1"/>
  <c r="J18" i="16"/>
  <c r="J20" i="16"/>
  <c r="J36" i="16"/>
  <c r="J37" i="16"/>
  <c r="I7" i="18"/>
  <c r="I8" i="18" s="1"/>
  <c r="J68" i="16"/>
  <c r="J17" i="16"/>
  <c r="J5" i="18" s="1"/>
  <c r="J70" i="16"/>
  <c r="J71" i="16" s="1"/>
  <c r="J17" i="18" s="1"/>
  <c r="H43" i="16"/>
  <c r="K5" i="16"/>
  <c r="K52" i="16" s="1"/>
  <c r="K4" i="18"/>
  <c r="I35" i="16"/>
  <c r="I29" i="16" s="1"/>
  <c r="I71" i="16"/>
  <c r="I17" i="18" s="1"/>
  <c r="I16" i="16"/>
  <c r="K14" i="16"/>
  <c r="K11" i="18" s="1"/>
  <c r="I23" i="16"/>
  <c r="I39" i="16" s="1"/>
  <c r="L1" i="16"/>
  <c r="K73" i="16"/>
  <c r="K16" i="18" s="1"/>
  <c r="K31" i="16"/>
  <c r="K45" i="16"/>
  <c r="K80" i="16"/>
  <c r="J77" i="16"/>
  <c r="I79" i="16"/>
  <c r="J86" i="16" s="1"/>
  <c r="J83" i="16"/>
  <c r="I82" i="16"/>
  <c r="L78" i="16"/>
  <c r="M85" i="16" s="1"/>
  <c r="J12" i="16"/>
  <c r="J10" i="18"/>
  <c r="L3" i="16"/>
  <c r="L51" i="16" s="1"/>
  <c r="K13" i="16"/>
  <c r="K69" i="16"/>
  <c r="L4" i="16"/>
  <c r="L104" i="16" l="1"/>
  <c r="L100" i="16" s="1"/>
  <c r="L10" i="16" s="1"/>
  <c r="L102" i="16"/>
  <c r="L103" i="16"/>
  <c r="K17" i="16"/>
  <c r="K5" i="18" s="1"/>
  <c r="K98" i="16"/>
  <c r="K19" i="16" s="1"/>
  <c r="K6" i="18" s="1"/>
  <c r="J35" i="16"/>
  <c r="J29" i="16" s="1"/>
  <c r="J7" i="18"/>
  <c r="J8" i="18" s="1"/>
  <c r="K18" i="16"/>
  <c r="K20" i="16"/>
  <c r="K36" i="16"/>
  <c r="K37" i="16"/>
  <c r="J16" i="16"/>
  <c r="K70" i="16"/>
  <c r="K71" i="16" s="1"/>
  <c r="K17" i="18" s="1"/>
  <c r="K38" i="16"/>
  <c r="K68" i="16"/>
  <c r="K3" i="18"/>
  <c r="L5" i="16"/>
  <c r="L52" i="16" s="1"/>
  <c r="L4" i="18"/>
  <c r="I43" i="16"/>
  <c r="L14" i="16"/>
  <c r="L11" i="18" s="1"/>
  <c r="J23" i="16"/>
  <c r="J39" i="16" s="1"/>
  <c r="M1" i="16"/>
  <c r="L73" i="16"/>
  <c r="L16" i="18" s="1"/>
  <c r="L31" i="16"/>
  <c r="L45" i="16"/>
  <c r="J79" i="16"/>
  <c r="I75" i="16"/>
  <c r="I30" i="16" s="1"/>
  <c r="L87" i="16"/>
  <c r="K84" i="16"/>
  <c r="K77" i="16" s="1"/>
  <c r="J82" i="16"/>
  <c r="J76" i="16"/>
  <c r="K83" i="16" s="1"/>
  <c r="K10" i="18"/>
  <c r="K12" i="16"/>
  <c r="M3" i="16"/>
  <c r="M51" i="16" s="1"/>
  <c r="L13" i="16"/>
  <c r="M4" i="16"/>
  <c r="L69" i="16"/>
  <c r="M103" i="16" l="1"/>
  <c r="M104" i="16"/>
  <c r="M100" i="16" s="1"/>
  <c r="M10" i="16" s="1"/>
  <c r="M102" i="16"/>
  <c r="K35" i="16"/>
  <c r="K29" i="16" s="1"/>
  <c r="J43" i="16"/>
  <c r="L38" i="16"/>
  <c r="L98" i="16"/>
  <c r="L19" i="16" s="1"/>
  <c r="L6" i="18" s="1"/>
  <c r="L18" i="16"/>
  <c r="K7" i="18"/>
  <c r="K8" i="18" s="1"/>
  <c r="L70" i="16"/>
  <c r="L71" i="16" s="1"/>
  <c r="L17" i="18" s="1"/>
  <c r="K16" i="16"/>
  <c r="L17" i="16"/>
  <c r="L5" i="18" s="1"/>
  <c r="L20" i="16"/>
  <c r="L37" i="16"/>
  <c r="L36" i="16"/>
  <c r="L68" i="16"/>
  <c r="L3" i="18"/>
  <c r="M5" i="16"/>
  <c r="M52" i="16" s="1"/>
  <c r="M4" i="18"/>
  <c r="M14" i="16"/>
  <c r="M11" i="18" s="1"/>
  <c r="K23" i="16"/>
  <c r="K39" i="16" s="1"/>
  <c r="N1" i="16"/>
  <c r="M73" i="16"/>
  <c r="M16" i="18" s="1"/>
  <c r="M31" i="16"/>
  <c r="M45" i="16"/>
  <c r="L84" i="16"/>
  <c r="L80" i="16"/>
  <c r="K86" i="16"/>
  <c r="J75" i="16"/>
  <c r="J30" i="16" s="1"/>
  <c r="M78" i="16"/>
  <c r="N85" i="16" s="1"/>
  <c r="N3" i="16"/>
  <c r="N51" i="16" s="1"/>
  <c r="M13" i="16"/>
  <c r="L12" i="16"/>
  <c r="L10" i="18"/>
  <c r="N4" i="16"/>
  <c r="M69" i="16"/>
  <c r="N102" i="16" l="1"/>
  <c r="N103" i="16"/>
  <c r="N104" i="16"/>
  <c r="N100" i="16" s="1"/>
  <c r="N10" i="16" s="1"/>
  <c r="K43" i="16"/>
  <c r="L7" i="18"/>
  <c r="L8" i="18" s="1"/>
  <c r="M3" i="18"/>
  <c r="M98" i="16"/>
  <c r="M19" i="16" s="1"/>
  <c r="M6" i="18" s="1"/>
  <c r="L35" i="16"/>
  <c r="L29" i="16" s="1"/>
  <c r="L16" i="16"/>
  <c r="M17" i="16"/>
  <c r="M5" i="18" s="1"/>
  <c r="M20" i="16"/>
  <c r="M36" i="16"/>
  <c r="M37" i="16"/>
  <c r="M70" i="16"/>
  <c r="M71" i="16" s="1"/>
  <c r="M17" i="18" s="1"/>
  <c r="M68" i="16"/>
  <c r="M38" i="16"/>
  <c r="M18" i="16"/>
  <c r="N5" i="16"/>
  <c r="N4" i="18"/>
  <c r="N14" i="16"/>
  <c r="N11" i="18" s="1"/>
  <c r="L23" i="16"/>
  <c r="L39" i="16" s="1"/>
  <c r="O1" i="16"/>
  <c r="N73" i="16"/>
  <c r="N16" i="18" s="1"/>
  <c r="N31" i="16"/>
  <c r="N45" i="16"/>
  <c r="K79" i="16"/>
  <c r="M87" i="16"/>
  <c r="L77" i="16"/>
  <c r="K76" i="16"/>
  <c r="K82" i="16"/>
  <c r="N78" i="16"/>
  <c r="O85" i="16" s="1"/>
  <c r="M10" i="18"/>
  <c r="M12" i="16"/>
  <c r="O3" i="16"/>
  <c r="O51" i="16" s="1"/>
  <c r="N13" i="16"/>
  <c r="N69" i="16"/>
  <c r="O4" i="16"/>
  <c r="N17" i="16" l="1"/>
  <c r="N5" i="18" s="1"/>
  <c r="N52" i="16"/>
  <c r="O102" i="16"/>
  <c r="O104" i="16"/>
  <c r="O100" i="16" s="1"/>
  <c r="O10" i="16" s="1"/>
  <c r="O103" i="16"/>
  <c r="L43" i="16"/>
  <c r="N68" i="16"/>
  <c r="N98" i="16"/>
  <c r="N19" i="16" s="1"/>
  <c r="N6" i="18" s="1"/>
  <c r="N3" i="18"/>
  <c r="N18" i="16"/>
  <c r="N70" i="16"/>
  <c r="N71" i="16" s="1"/>
  <c r="N17" i="18" s="1"/>
  <c r="N37" i="16"/>
  <c r="N36" i="16"/>
  <c r="N38" i="16"/>
  <c r="M7" i="18"/>
  <c r="M8" i="18" s="1"/>
  <c r="M35" i="16"/>
  <c r="M29" i="16" s="1"/>
  <c r="N20" i="16"/>
  <c r="M16" i="16"/>
  <c r="O5" i="16"/>
  <c r="O52" i="16" s="1"/>
  <c r="O4" i="18"/>
  <c r="O14" i="16"/>
  <c r="O11" i="18" s="1"/>
  <c r="M23" i="16"/>
  <c r="M39" i="16" s="1"/>
  <c r="P1" i="16"/>
  <c r="O73" i="16"/>
  <c r="O16" i="18" s="1"/>
  <c r="O31" i="16"/>
  <c r="O45" i="16"/>
  <c r="K75" i="16"/>
  <c r="K30" i="16" s="1"/>
  <c r="L83" i="16"/>
  <c r="M84" i="16"/>
  <c r="M77" i="16" s="1"/>
  <c r="L86" i="16"/>
  <c r="M80" i="16"/>
  <c r="P3" i="16"/>
  <c r="P51" i="16" s="1"/>
  <c r="O13" i="16"/>
  <c r="N12" i="16"/>
  <c r="N10" i="18"/>
  <c r="P4" i="16"/>
  <c r="O69" i="16"/>
  <c r="P104" i="16" l="1"/>
  <c r="P100" i="16" s="1"/>
  <c r="P10" i="16" s="1"/>
  <c r="P102" i="16"/>
  <c r="P103" i="16"/>
  <c r="N35" i="16"/>
  <c r="N29" i="16" s="1"/>
  <c r="O17" i="16"/>
  <c r="O5" i="18" s="1"/>
  <c r="O98" i="16"/>
  <c r="O19" i="16" s="1"/>
  <c r="O6" i="18" s="1"/>
  <c r="M43" i="16"/>
  <c r="N16" i="16"/>
  <c r="O36" i="16"/>
  <c r="O37" i="16"/>
  <c r="O20" i="16"/>
  <c r="O38" i="16"/>
  <c r="O70" i="16"/>
  <c r="O68" i="16"/>
  <c r="O3" i="18"/>
  <c r="O18" i="16"/>
  <c r="N7" i="18"/>
  <c r="N8" i="18" s="1"/>
  <c r="P5" i="16"/>
  <c r="P4" i="18"/>
  <c r="P14" i="16"/>
  <c r="N23" i="16"/>
  <c r="N39" i="16" s="1"/>
  <c r="Q1" i="16"/>
  <c r="P73" i="16"/>
  <c r="P16" i="18" s="1"/>
  <c r="P31" i="16"/>
  <c r="P45" i="16"/>
  <c r="N87" i="16"/>
  <c r="N80" i="16" s="1"/>
  <c r="N84" i="16"/>
  <c r="L79" i="16"/>
  <c r="L76" i="16"/>
  <c r="M83" i="16" s="1"/>
  <c r="L82" i="16"/>
  <c r="O78" i="16"/>
  <c r="P85" i="16" s="1"/>
  <c r="O10" i="18"/>
  <c r="O12" i="16"/>
  <c r="Q3" i="16"/>
  <c r="Q51" i="16" s="1"/>
  <c r="P13" i="16"/>
  <c r="P10" i="18" s="1"/>
  <c r="P69" i="16"/>
  <c r="Q4" i="16"/>
  <c r="P98" i="16" l="1"/>
  <c r="P19" i="16" s="1"/>
  <c r="P52" i="16"/>
  <c r="Q103" i="16"/>
  <c r="Q104" i="16"/>
  <c r="Q100" i="16" s="1"/>
  <c r="Q10" i="16" s="1"/>
  <c r="Q102" i="16"/>
  <c r="N43" i="16"/>
  <c r="O7" i="18"/>
  <c r="O8" i="18" s="1"/>
  <c r="O35" i="16"/>
  <c r="O29" i="16" s="1"/>
  <c r="P70" i="16"/>
  <c r="P71" i="16" s="1"/>
  <c r="P17" i="18" s="1"/>
  <c r="P20" i="16"/>
  <c r="P36" i="16"/>
  <c r="P37" i="16"/>
  <c r="O16" i="16"/>
  <c r="P17" i="16"/>
  <c r="P5" i="18" s="1"/>
  <c r="P18" i="16"/>
  <c r="P68" i="16"/>
  <c r="O71" i="16"/>
  <c r="O17" i="18" s="1"/>
  <c r="P3" i="18"/>
  <c r="P6" i="18"/>
  <c r="P38" i="16"/>
  <c r="Q5" i="16"/>
  <c r="Q52" i="16" s="1"/>
  <c r="Q4" i="18"/>
  <c r="Q3" i="18"/>
  <c r="Q14" i="16"/>
  <c r="Q11" i="18" s="1"/>
  <c r="O23" i="16"/>
  <c r="O39" i="16" s="1"/>
  <c r="R1" i="16"/>
  <c r="Q73" i="16"/>
  <c r="Q16" i="18" s="1"/>
  <c r="Q31" i="16"/>
  <c r="Q45" i="16"/>
  <c r="M86" i="16"/>
  <c r="O87" i="16"/>
  <c r="N77" i="16"/>
  <c r="L75" i="16"/>
  <c r="L30" i="16" s="1"/>
  <c r="M76" i="16"/>
  <c r="N83" i="16" s="1"/>
  <c r="P12" i="16"/>
  <c r="P11" i="18"/>
  <c r="R3" i="16"/>
  <c r="R51" i="16" s="1"/>
  <c r="Q13" i="16"/>
  <c r="R4" i="16"/>
  <c r="Q69" i="16"/>
  <c r="R103" i="16" l="1"/>
  <c r="R102" i="16"/>
  <c r="R104" i="16"/>
  <c r="R100" i="16" s="1"/>
  <c r="R10" i="16" s="1"/>
  <c r="O43" i="16"/>
  <c r="Q70" i="16"/>
  <c r="Q38" i="16"/>
  <c r="Q98" i="16"/>
  <c r="Q19" i="16" s="1"/>
  <c r="Q6" i="18" s="1"/>
  <c r="P7" i="18"/>
  <c r="P8" i="18" s="1"/>
  <c r="P35" i="16"/>
  <c r="P29" i="16" s="1"/>
  <c r="Q18" i="16"/>
  <c r="Q17" i="16"/>
  <c r="Q5" i="18" s="1"/>
  <c r="P16" i="16"/>
  <c r="Q68" i="16"/>
  <c r="Q20" i="16"/>
  <c r="Q36" i="16"/>
  <c r="Q37" i="16"/>
  <c r="R5" i="16"/>
  <c r="R4" i="18"/>
  <c r="R14" i="16"/>
  <c r="R11" i="18" s="1"/>
  <c r="P23" i="16"/>
  <c r="P39" i="16" s="1"/>
  <c r="S1" i="16"/>
  <c r="R73" i="16"/>
  <c r="R16" i="18" s="1"/>
  <c r="R31" i="16"/>
  <c r="R45" i="16"/>
  <c r="M82" i="16"/>
  <c r="M79" i="16"/>
  <c r="M75" i="16" s="1"/>
  <c r="M30" i="16" s="1"/>
  <c r="O84" i="16"/>
  <c r="O80" i="16"/>
  <c r="P78" i="16"/>
  <c r="Q85" i="16" s="1"/>
  <c r="Q12" i="16"/>
  <c r="Q10" i="18"/>
  <c r="S3" i="16"/>
  <c r="S51" i="16" s="1"/>
  <c r="R13" i="16"/>
  <c r="R69" i="16"/>
  <c r="Q71" i="16"/>
  <c r="Q17" i="18" s="1"/>
  <c r="S4" i="16"/>
  <c r="R3" i="18" l="1"/>
  <c r="R52" i="16"/>
  <c r="S102" i="16"/>
  <c r="S103" i="16"/>
  <c r="S104" i="16"/>
  <c r="S100" i="16" s="1"/>
  <c r="S10" i="16" s="1"/>
  <c r="P43" i="16"/>
  <c r="R68" i="16"/>
  <c r="R98" i="16"/>
  <c r="R19" i="16" s="1"/>
  <c r="R6" i="18" s="1"/>
  <c r="Q35" i="16"/>
  <c r="Q29" i="16" s="1"/>
  <c r="Q16" i="16"/>
  <c r="R36" i="16"/>
  <c r="R37" i="16"/>
  <c r="R18" i="16"/>
  <c r="R70" i="16"/>
  <c r="R71" i="16" s="1"/>
  <c r="R17" i="18" s="1"/>
  <c r="R20" i="16"/>
  <c r="Q7" i="18"/>
  <c r="Q8" i="18" s="1"/>
  <c r="R38" i="16"/>
  <c r="R17" i="16"/>
  <c r="R5" i="18" s="1"/>
  <c r="S5" i="16"/>
  <c r="S4" i="18"/>
  <c r="S14" i="16"/>
  <c r="S11" i="18" s="1"/>
  <c r="Q23" i="16"/>
  <c r="Q39" i="16" s="1"/>
  <c r="T1" i="16"/>
  <c r="S73" i="16"/>
  <c r="S16" i="18" s="1"/>
  <c r="S31" i="16"/>
  <c r="S45" i="16"/>
  <c r="O77" i="16"/>
  <c r="P84" i="16" s="1"/>
  <c r="P87" i="16"/>
  <c r="N86" i="16"/>
  <c r="N76" i="16"/>
  <c r="O83" i="16" s="1"/>
  <c r="Q78" i="16"/>
  <c r="R85" i="16" s="1"/>
  <c r="R12" i="16"/>
  <c r="R10" i="18"/>
  <c r="T3" i="16"/>
  <c r="T51" i="16" s="1"/>
  <c r="S13" i="16"/>
  <c r="T4" i="16"/>
  <c r="S69" i="16"/>
  <c r="S98" i="16" l="1"/>
  <c r="S19" i="16" s="1"/>
  <c r="S52" i="16"/>
  <c r="T103" i="16"/>
  <c r="T102" i="16"/>
  <c r="T104" i="16"/>
  <c r="T100" i="16" s="1"/>
  <c r="T10" i="16" s="1"/>
  <c r="Q43" i="16"/>
  <c r="S18" i="16"/>
  <c r="R7" i="18"/>
  <c r="R8" i="18" s="1"/>
  <c r="S70" i="16"/>
  <c r="S71" i="16" s="1"/>
  <c r="S17" i="18" s="1"/>
  <c r="S6" i="18"/>
  <c r="S17" i="16"/>
  <c r="S5" i="18" s="1"/>
  <c r="S3" i="18"/>
  <c r="R35" i="16"/>
  <c r="R29" i="16" s="1"/>
  <c r="S20" i="16"/>
  <c r="R16" i="16"/>
  <c r="S36" i="16"/>
  <c r="S37" i="16"/>
  <c r="S68" i="16"/>
  <c r="S38" i="16"/>
  <c r="T5" i="16"/>
  <c r="T52" i="16" s="1"/>
  <c r="T4" i="18"/>
  <c r="T14" i="16"/>
  <c r="T11" i="18" s="1"/>
  <c r="R23" i="16"/>
  <c r="R39" i="16" s="1"/>
  <c r="U1" i="16"/>
  <c r="T73" i="16"/>
  <c r="T16" i="18" s="1"/>
  <c r="T31" i="16"/>
  <c r="T45" i="16"/>
  <c r="N82" i="16"/>
  <c r="N79" i="16"/>
  <c r="N75" i="16" s="1"/>
  <c r="N30" i="16" s="1"/>
  <c r="P77" i="16"/>
  <c r="P80" i="16"/>
  <c r="S12" i="16"/>
  <c r="S10" i="18"/>
  <c r="U3" i="16"/>
  <c r="U51" i="16" s="1"/>
  <c r="T13" i="16"/>
  <c r="T69" i="16"/>
  <c r="U4" i="16"/>
  <c r="U103" i="16" l="1"/>
  <c r="U102" i="16"/>
  <c r="U104" i="16"/>
  <c r="U100" i="16" s="1"/>
  <c r="U10" i="16" s="1"/>
  <c r="R43" i="16"/>
  <c r="S35" i="16"/>
  <c r="S29" i="16" s="1"/>
  <c r="T38" i="16"/>
  <c r="T98" i="16"/>
  <c r="T19" i="16" s="1"/>
  <c r="T6" i="18" s="1"/>
  <c r="T18" i="16"/>
  <c r="T17" i="16"/>
  <c r="T5" i="18" s="1"/>
  <c r="T68" i="16"/>
  <c r="T3" i="18"/>
  <c r="T70" i="16"/>
  <c r="S16" i="16"/>
  <c r="T20" i="16"/>
  <c r="T36" i="16"/>
  <c r="T37" i="16"/>
  <c r="S7" i="18"/>
  <c r="S8" i="18" s="1"/>
  <c r="U5" i="16"/>
  <c r="U52" i="16" s="1"/>
  <c r="U4" i="18"/>
  <c r="U14" i="16"/>
  <c r="U11" i="18" s="1"/>
  <c r="S23" i="16"/>
  <c r="S39" i="16" s="1"/>
  <c r="V1" i="16"/>
  <c r="U73" i="16"/>
  <c r="U16" i="18" s="1"/>
  <c r="U31" i="16"/>
  <c r="U45" i="16"/>
  <c r="Q84" i="16"/>
  <c r="Q87" i="16"/>
  <c r="O86" i="16"/>
  <c r="O82" i="16" s="1"/>
  <c r="O76" i="16"/>
  <c r="P83" i="16" s="1"/>
  <c r="R78" i="16"/>
  <c r="S85" i="16" s="1"/>
  <c r="T10" i="18"/>
  <c r="T12" i="16"/>
  <c r="V3" i="16"/>
  <c r="V51" i="16" s="1"/>
  <c r="U13" i="16"/>
  <c r="V4" i="16"/>
  <c r="U69" i="16"/>
  <c r="V103" i="16" l="1"/>
  <c r="V102" i="16"/>
  <c r="V104" i="16"/>
  <c r="V100" i="16" s="1"/>
  <c r="V10" i="16" s="1"/>
  <c r="S43" i="16"/>
  <c r="T35" i="16"/>
  <c r="T29" i="16" s="1"/>
  <c r="U98" i="16"/>
  <c r="U19" i="16" s="1"/>
  <c r="U6" i="18" s="1"/>
  <c r="T7" i="18"/>
  <c r="T8" i="18" s="1"/>
  <c r="U17" i="16"/>
  <c r="U5" i="18" s="1"/>
  <c r="U18" i="16"/>
  <c r="U3" i="18"/>
  <c r="U38" i="16"/>
  <c r="U70" i="16"/>
  <c r="U71" i="16" s="1"/>
  <c r="U17" i="18" s="1"/>
  <c r="U68" i="16"/>
  <c r="T71" i="16"/>
  <c r="T17" i="18" s="1"/>
  <c r="T16" i="16"/>
  <c r="U20" i="16"/>
  <c r="U36" i="16"/>
  <c r="U37" i="16"/>
  <c r="V5" i="16"/>
  <c r="V52" i="16" s="1"/>
  <c r="V4" i="18"/>
  <c r="V14" i="16"/>
  <c r="V11" i="18" s="1"/>
  <c r="T23" i="16"/>
  <c r="T39" i="16" s="1"/>
  <c r="W1" i="16"/>
  <c r="V73" i="16"/>
  <c r="V16" i="18" s="1"/>
  <c r="V31" i="16"/>
  <c r="V45" i="16"/>
  <c r="Q80" i="16"/>
  <c r="O79" i="16"/>
  <c r="O75" i="16" s="1"/>
  <c r="O30" i="16" s="1"/>
  <c r="Q77" i="16"/>
  <c r="S78" i="16"/>
  <c r="T85" i="16" s="1"/>
  <c r="U10" i="18"/>
  <c r="U12" i="16"/>
  <c r="W3" i="16"/>
  <c r="W51" i="16" s="1"/>
  <c r="V13" i="16"/>
  <c r="W4" i="16"/>
  <c r="V69" i="16"/>
  <c r="W102" i="16" l="1"/>
  <c r="W104" i="16"/>
  <c r="W100" i="16" s="1"/>
  <c r="W10" i="16" s="1"/>
  <c r="W103" i="16"/>
  <c r="T43" i="16"/>
  <c r="V38" i="16"/>
  <c r="V98" i="16"/>
  <c r="V19" i="16" s="1"/>
  <c r="V6" i="18" s="1"/>
  <c r="U16" i="16"/>
  <c r="V18" i="16"/>
  <c r="V17" i="16"/>
  <c r="V5" i="18" s="1"/>
  <c r="U7" i="18"/>
  <c r="U8" i="18" s="1"/>
  <c r="V3" i="18"/>
  <c r="U35" i="16"/>
  <c r="U29" i="16" s="1"/>
  <c r="V70" i="16"/>
  <c r="V71" i="16" s="1"/>
  <c r="V17" i="18" s="1"/>
  <c r="V68" i="16"/>
  <c r="V20" i="16"/>
  <c r="V36" i="16"/>
  <c r="V37" i="16"/>
  <c r="W5" i="16"/>
  <c r="W52" i="16" s="1"/>
  <c r="W4" i="18"/>
  <c r="W14" i="16"/>
  <c r="W11" i="18" s="1"/>
  <c r="U23" i="16"/>
  <c r="U39" i="16" s="1"/>
  <c r="X1" i="16"/>
  <c r="W73" i="16"/>
  <c r="W16" i="18" s="1"/>
  <c r="W31" i="16"/>
  <c r="W45" i="16"/>
  <c r="P86" i="16"/>
  <c r="P82" i="16" s="1"/>
  <c r="R84" i="16"/>
  <c r="R87" i="16"/>
  <c r="R80" i="16" s="1"/>
  <c r="P76" i="16"/>
  <c r="Q83" i="16" s="1"/>
  <c r="X3" i="16"/>
  <c r="X51" i="16" s="1"/>
  <c r="W13" i="16"/>
  <c r="V10" i="18"/>
  <c r="V12" i="16"/>
  <c r="W69" i="16"/>
  <c r="X4" i="16"/>
  <c r="W17" i="16"/>
  <c r="W5" i="18" s="1"/>
  <c r="X104" i="16" l="1"/>
  <c r="X100" i="16" s="1"/>
  <c r="X10" i="16" s="1"/>
  <c r="X102" i="16"/>
  <c r="X103" i="16"/>
  <c r="W38" i="16"/>
  <c r="W98" i="16"/>
  <c r="W19" i="16" s="1"/>
  <c r="W6" i="18" s="1"/>
  <c r="W20" i="16"/>
  <c r="W68" i="16"/>
  <c r="U43" i="16"/>
  <c r="V35" i="16"/>
  <c r="V29" i="16" s="1"/>
  <c r="V7" i="18"/>
  <c r="V8" i="18" s="1"/>
  <c r="W70" i="16"/>
  <c r="W71" i="16" s="1"/>
  <c r="W17" i="18" s="1"/>
  <c r="W3" i="18"/>
  <c r="V16" i="16"/>
  <c r="W18" i="16"/>
  <c r="W36" i="16"/>
  <c r="W37" i="16"/>
  <c r="X5" i="16"/>
  <c r="X52" i="16" s="1"/>
  <c r="X4" i="18"/>
  <c r="X14" i="16"/>
  <c r="X11" i="18" s="1"/>
  <c r="V23" i="16"/>
  <c r="V39" i="16" s="1"/>
  <c r="Y1" i="16"/>
  <c r="X73" i="16"/>
  <c r="X16" i="18" s="1"/>
  <c r="X31" i="16"/>
  <c r="X45" i="16"/>
  <c r="R77" i="16"/>
  <c r="S87" i="16"/>
  <c r="P79" i="16"/>
  <c r="Q86" i="16" s="1"/>
  <c r="T78" i="16"/>
  <c r="U85" i="16" s="1"/>
  <c r="W10" i="18"/>
  <c r="W12" i="16"/>
  <c r="Y3" i="16"/>
  <c r="Y51" i="16" s="1"/>
  <c r="X13" i="16"/>
  <c r="Y4" i="16"/>
  <c r="X69" i="16"/>
  <c r="Y103" i="16" l="1"/>
  <c r="Y102" i="16"/>
  <c r="Y104" i="16"/>
  <c r="Y100" i="16" s="1"/>
  <c r="Y10" i="16" s="1"/>
  <c r="V43" i="16"/>
  <c r="X68" i="16"/>
  <c r="X98" i="16"/>
  <c r="X19" i="16" s="1"/>
  <c r="X6" i="18" s="1"/>
  <c r="W7" i="18"/>
  <c r="W8" i="18" s="1"/>
  <c r="X17" i="16"/>
  <c r="X5" i="18" s="1"/>
  <c r="W35" i="16"/>
  <c r="W29" i="16" s="1"/>
  <c r="X3" i="18"/>
  <c r="X20" i="16"/>
  <c r="X70" i="16"/>
  <c r="X71" i="16" s="1"/>
  <c r="X17" i="18" s="1"/>
  <c r="X38" i="16"/>
  <c r="W16" i="16"/>
  <c r="X18" i="16"/>
  <c r="X37" i="16"/>
  <c r="X36" i="16"/>
  <c r="Y5" i="16"/>
  <c r="Y4" i="18"/>
  <c r="Y14" i="16"/>
  <c r="Y11" i="18" s="1"/>
  <c r="W23" i="16"/>
  <c r="W39" i="16" s="1"/>
  <c r="Z1" i="16"/>
  <c r="Y73" i="16"/>
  <c r="Y16" i="18" s="1"/>
  <c r="Y31" i="16"/>
  <c r="Y45" i="16"/>
  <c r="P75" i="16"/>
  <c r="P30" i="16" s="1"/>
  <c r="Q79" i="16"/>
  <c r="S84" i="16"/>
  <c r="S80" i="16"/>
  <c r="Q76" i="16"/>
  <c r="R83" i="16" s="1"/>
  <c r="Q82" i="16"/>
  <c r="Z3" i="16"/>
  <c r="Z51" i="16" s="1"/>
  <c r="Y13" i="16"/>
  <c r="X12" i="16"/>
  <c r="X10" i="18"/>
  <c r="Y69" i="16"/>
  <c r="Z4" i="16"/>
  <c r="Y98" i="16" l="1"/>
  <c r="Y19" i="16" s="1"/>
  <c r="Y52" i="16"/>
  <c r="Z103" i="16"/>
  <c r="Z102" i="16"/>
  <c r="Z104" i="16"/>
  <c r="Z100" i="16" s="1"/>
  <c r="Z10" i="16" s="1"/>
  <c r="W43" i="16"/>
  <c r="Y70" i="16"/>
  <c r="Y71" i="16" s="1"/>
  <c r="Y17" i="18" s="1"/>
  <c r="Y17" i="16"/>
  <c r="Y5" i="18" s="1"/>
  <c r="Y3" i="18"/>
  <c r="Y6" i="18"/>
  <c r="X35" i="16"/>
  <c r="X29" i="16" s="1"/>
  <c r="X7" i="18"/>
  <c r="X8" i="18" s="1"/>
  <c r="Y38" i="16"/>
  <c r="Y68" i="16"/>
  <c r="X16" i="16"/>
  <c r="Y20" i="16"/>
  <c r="Y36" i="16"/>
  <c r="Y37" i="16"/>
  <c r="Y18" i="16"/>
  <c r="Z5" i="16"/>
  <c r="Z52" i="16" s="1"/>
  <c r="Z4" i="18"/>
  <c r="Z14" i="16"/>
  <c r="Z11" i="18" s="1"/>
  <c r="X23" i="16"/>
  <c r="X39" i="16" s="1"/>
  <c r="AA1" i="16"/>
  <c r="Z73" i="16"/>
  <c r="Z16" i="18" s="1"/>
  <c r="Z31" i="16"/>
  <c r="Z45" i="16"/>
  <c r="S77" i="16"/>
  <c r="T84" i="16" s="1"/>
  <c r="T87" i="16"/>
  <c r="R86" i="16"/>
  <c r="Q75" i="16"/>
  <c r="Q30" i="16" s="1"/>
  <c r="R76" i="16"/>
  <c r="S83" i="16" s="1"/>
  <c r="U78" i="16"/>
  <c r="V85" i="16" s="1"/>
  <c r="Y10" i="18"/>
  <c r="Y12" i="16"/>
  <c r="AA3" i="16"/>
  <c r="AA51" i="16" s="1"/>
  <c r="Z13" i="16"/>
  <c r="AA4" i="16"/>
  <c r="Z69" i="16"/>
  <c r="AA102" i="16" l="1"/>
  <c r="AA104" i="16"/>
  <c r="AA100" i="16" s="1"/>
  <c r="AA10" i="16" s="1"/>
  <c r="AA103" i="16"/>
  <c r="Z38" i="16"/>
  <c r="Z98" i="16"/>
  <c r="Z19" i="16" s="1"/>
  <c r="Z6" i="18" s="1"/>
  <c r="Y16" i="16"/>
  <c r="Z17" i="16"/>
  <c r="Z5" i="18" s="1"/>
  <c r="X43" i="16"/>
  <c r="Y35" i="16"/>
  <c r="Y29" i="16" s="1"/>
  <c r="Z68" i="16"/>
  <c r="Z70" i="16"/>
  <c r="Z71" i="16" s="1"/>
  <c r="Z17" i="18" s="1"/>
  <c r="Z3" i="18"/>
  <c r="Z18" i="16"/>
  <c r="Y7" i="18"/>
  <c r="Y8" i="18" s="1"/>
  <c r="Z20" i="16"/>
  <c r="Z36" i="16"/>
  <c r="Z37" i="16"/>
  <c r="AA5" i="16"/>
  <c r="AA4" i="18"/>
  <c r="AA14" i="16"/>
  <c r="AA11" i="18" s="1"/>
  <c r="Y23" i="16"/>
  <c r="Y39" i="16" s="1"/>
  <c r="Z23" i="16" s="1"/>
  <c r="AB1" i="16"/>
  <c r="AA73" i="16"/>
  <c r="AA16" i="18" s="1"/>
  <c r="AA31" i="16"/>
  <c r="AA45" i="16"/>
  <c r="R82" i="16"/>
  <c r="R79" i="16"/>
  <c r="T77" i="16"/>
  <c r="T80" i="16"/>
  <c r="Z12" i="16"/>
  <c r="Z10" i="18"/>
  <c r="AB3" i="16"/>
  <c r="AB51" i="16" s="1"/>
  <c r="AA13" i="16"/>
  <c r="AA69" i="16"/>
  <c r="AB4" i="16"/>
  <c r="AA68" i="16" l="1"/>
  <c r="AA52" i="16"/>
  <c r="AB103" i="16"/>
  <c r="AB104" i="16"/>
  <c r="AB100" i="16" s="1"/>
  <c r="AB10" i="16" s="1"/>
  <c r="AB102" i="16"/>
  <c r="AA38" i="16"/>
  <c r="AA98" i="16"/>
  <c r="AA19" i="16" s="1"/>
  <c r="AA6" i="18" s="1"/>
  <c r="Z7" i="18"/>
  <c r="Z8" i="18" s="1"/>
  <c r="AA3" i="18"/>
  <c r="AA20" i="16"/>
  <c r="Z35" i="16"/>
  <c r="Z29" i="16" s="1"/>
  <c r="Z39" i="16"/>
  <c r="AA23" i="16" s="1"/>
  <c r="AA70" i="16"/>
  <c r="AA71" i="16" s="1"/>
  <c r="AA17" i="18" s="1"/>
  <c r="AA17" i="16"/>
  <c r="AA5" i="18" s="1"/>
  <c r="Z16" i="16"/>
  <c r="AA18" i="16"/>
  <c r="AA36" i="16"/>
  <c r="AA37" i="16"/>
  <c r="AB5" i="16"/>
  <c r="AB52" i="16" s="1"/>
  <c r="AB4" i="18"/>
  <c r="AB14" i="16"/>
  <c r="Y43" i="16"/>
  <c r="AC1" i="16"/>
  <c r="AB73" i="16"/>
  <c r="AB16" i="18" s="1"/>
  <c r="AB31" i="16"/>
  <c r="AB45" i="16"/>
  <c r="U84" i="16"/>
  <c r="U77" i="16" s="1"/>
  <c r="R75" i="16"/>
  <c r="R30" i="16" s="1"/>
  <c r="S86" i="16"/>
  <c r="S82" i="16" s="1"/>
  <c r="U87" i="16"/>
  <c r="U80" i="16" s="1"/>
  <c r="S76" i="16"/>
  <c r="T83" i="16" s="1"/>
  <c r="V78" i="16"/>
  <c r="W85" i="16" s="1"/>
  <c r="AC3" i="16"/>
  <c r="AC51" i="16" s="1"/>
  <c r="AB13" i="16"/>
  <c r="AB10" i="18" s="1"/>
  <c r="AA10" i="18"/>
  <c r="AA12" i="16"/>
  <c r="AC4" i="16"/>
  <c r="AB69" i="16"/>
  <c r="AC102" i="16" l="1"/>
  <c r="AC103" i="16"/>
  <c r="AC104" i="16"/>
  <c r="AC100" i="16" s="1"/>
  <c r="AC10" i="16" s="1"/>
  <c r="AB38" i="16"/>
  <c r="AB98" i="16"/>
  <c r="AB19" i="16" s="1"/>
  <c r="AB6" i="18" s="1"/>
  <c r="AA7" i="18"/>
  <c r="AA8" i="18" s="1"/>
  <c r="AB17" i="16"/>
  <c r="AB5" i="18" s="1"/>
  <c r="AB3" i="18"/>
  <c r="Z43" i="16"/>
  <c r="AB68" i="16"/>
  <c r="AB20" i="16"/>
  <c r="AB70" i="16"/>
  <c r="AB71" i="16" s="1"/>
  <c r="AB17" i="18" s="1"/>
  <c r="AA35" i="16"/>
  <c r="AA29" i="16" s="1"/>
  <c r="AA16" i="16"/>
  <c r="AB18" i="16"/>
  <c r="AB36" i="16"/>
  <c r="AB37" i="16"/>
  <c r="AA39" i="16"/>
  <c r="AB23" i="16" s="1"/>
  <c r="AC5" i="16"/>
  <c r="AC52" i="16" s="1"/>
  <c r="AC4" i="18"/>
  <c r="AC14" i="16"/>
  <c r="AC11" i="18" s="1"/>
  <c r="AD1" i="16"/>
  <c r="AC73" i="16"/>
  <c r="AC16" i="18" s="1"/>
  <c r="AC31" i="16"/>
  <c r="AC45" i="16"/>
  <c r="V87" i="16"/>
  <c r="V84" i="16"/>
  <c r="S79" i="16"/>
  <c r="S75" i="16" s="1"/>
  <c r="S30" i="16" s="1"/>
  <c r="T76" i="16"/>
  <c r="U83" i="16" s="1"/>
  <c r="W78" i="16"/>
  <c r="X85" i="16" s="1"/>
  <c r="AB12" i="16"/>
  <c r="AB11" i="18"/>
  <c r="AD3" i="16"/>
  <c r="AD51" i="16" s="1"/>
  <c r="AC13" i="16"/>
  <c r="AC69" i="16"/>
  <c r="AD4" i="16"/>
  <c r="AD103" i="16" l="1"/>
  <c r="AD104" i="16"/>
  <c r="AD100" i="16" s="1"/>
  <c r="AD10" i="16" s="1"/>
  <c r="AD102" i="16"/>
  <c r="AC20" i="16"/>
  <c r="AC98" i="16"/>
  <c r="AC19" i="16" s="1"/>
  <c r="AC6" i="18" s="1"/>
  <c r="AB39" i="16"/>
  <c r="AC23" i="16" s="1"/>
  <c r="AB16" i="16"/>
  <c r="AC3" i="18"/>
  <c r="AC68" i="16"/>
  <c r="AB35" i="16"/>
  <c r="AB29" i="16" s="1"/>
  <c r="AC17" i="16"/>
  <c r="AC5" i="18" s="1"/>
  <c r="AA43" i="16"/>
  <c r="AB7" i="18"/>
  <c r="AB8" i="18" s="1"/>
  <c r="AC18" i="16"/>
  <c r="AC36" i="16"/>
  <c r="AC37" i="16"/>
  <c r="AC38" i="16"/>
  <c r="AD5" i="16"/>
  <c r="AD52" i="16" s="1"/>
  <c r="AD4" i="18"/>
  <c r="AD14" i="16"/>
  <c r="AD11" i="18" s="1"/>
  <c r="AC70" i="16"/>
  <c r="AE1" i="16"/>
  <c r="AD73" i="16"/>
  <c r="AD16" i="18" s="1"/>
  <c r="AD31" i="16"/>
  <c r="AD45" i="16"/>
  <c r="V77" i="16"/>
  <c r="W84" i="16" s="1"/>
  <c r="T86" i="16"/>
  <c r="V80" i="16"/>
  <c r="W87" i="16" s="1"/>
  <c r="X78" i="16"/>
  <c r="Y85" i="16" s="1"/>
  <c r="AC12" i="16"/>
  <c r="AC10" i="18"/>
  <c r="AE3" i="16"/>
  <c r="AE51" i="16" s="1"/>
  <c r="AD13" i="16"/>
  <c r="AE4" i="16"/>
  <c r="AD69" i="16"/>
  <c r="AE102" i="16" l="1"/>
  <c r="AE103" i="16"/>
  <c r="AE104" i="16"/>
  <c r="AE100" i="16" s="1"/>
  <c r="AE10" i="16" s="1"/>
  <c r="AC7" i="18"/>
  <c r="AC8" i="18" s="1"/>
  <c r="AD98" i="16"/>
  <c r="AD19" i="16" s="1"/>
  <c r="AD6" i="18" s="1"/>
  <c r="AB43" i="16"/>
  <c r="AD68" i="16"/>
  <c r="AD20" i="16"/>
  <c r="AC35" i="16"/>
  <c r="AC29" i="16" s="1"/>
  <c r="AC16" i="16"/>
  <c r="AD70" i="16"/>
  <c r="AD71" i="16" s="1"/>
  <c r="AD17" i="18" s="1"/>
  <c r="AC39" i="16"/>
  <c r="AD23" i="16" s="1"/>
  <c r="AD38" i="16"/>
  <c r="AD3" i="18"/>
  <c r="AD17" i="16"/>
  <c r="AD5" i="18" s="1"/>
  <c r="AD18" i="16"/>
  <c r="AD36" i="16"/>
  <c r="AD37" i="16"/>
  <c r="AE5" i="16"/>
  <c r="AE4" i="18"/>
  <c r="AC71" i="16"/>
  <c r="AC17" i="18" s="1"/>
  <c r="AE14" i="16"/>
  <c r="AE11" i="18" s="1"/>
  <c r="AF1" i="16"/>
  <c r="AE73" i="16"/>
  <c r="AE16" i="18" s="1"/>
  <c r="AE31" i="16"/>
  <c r="AE45" i="16"/>
  <c r="T82" i="16"/>
  <c r="W80" i="16"/>
  <c r="T79" i="16"/>
  <c r="W77" i="16"/>
  <c r="X84" i="16" s="1"/>
  <c r="U76" i="16"/>
  <c r="AD10" i="18"/>
  <c r="AD12" i="16"/>
  <c r="AF3" i="16"/>
  <c r="AF51" i="16" s="1"/>
  <c r="AE13" i="16"/>
  <c r="AE69" i="16"/>
  <c r="AF4" i="16"/>
  <c r="AE17" i="16" l="1"/>
  <c r="AE5" i="18" s="1"/>
  <c r="AE52" i="16"/>
  <c r="AF103" i="16"/>
  <c r="AF102" i="16"/>
  <c r="AF104" i="16"/>
  <c r="AF100" i="16" s="1"/>
  <c r="AF10" i="16" s="1"/>
  <c r="AE20" i="16"/>
  <c r="AE98" i="16"/>
  <c r="AE19" i="16" s="1"/>
  <c r="AE6" i="18" s="1"/>
  <c r="AD7" i="18"/>
  <c r="AD8" i="18" s="1"/>
  <c r="AE3" i="18"/>
  <c r="AD35" i="16"/>
  <c r="AD29" i="16" s="1"/>
  <c r="AC43" i="16"/>
  <c r="AD39" i="16"/>
  <c r="AE23" i="16" s="1"/>
  <c r="AE68" i="16"/>
  <c r="AD16" i="16"/>
  <c r="AE18" i="16"/>
  <c r="AE36" i="16"/>
  <c r="AE37" i="16"/>
  <c r="AE38" i="16"/>
  <c r="AE70" i="16"/>
  <c r="AE71" i="16" s="1"/>
  <c r="AE17" i="18" s="1"/>
  <c r="AF5" i="16"/>
  <c r="AF52" i="16" s="1"/>
  <c r="AF4" i="18"/>
  <c r="AF14" i="16"/>
  <c r="AF11" i="18" s="1"/>
  <c r="AG1" i="16"/>
  <c r="AF73" i="16"/>
  <c r="AF16" i="18" s="1"/>
  <c r="AF31" i="16"/>
  <c r="AF45" i="16"/>
  <c r="T75" i="16"/>
  <c r="T30" i="16" s="1"/>
  <c r="V83" i="16"/>
  <c r="X77" i="16"/>
  <c r="U86" i="16"/>
  <c r="X87" i="16"/>
  <c r="X80" i="16" s="1"/>
  <c r="Y78" i="16"/>
  <c r="Z85" i="16" s="1"/>
  <c r="AE12" i="16"/>
  <c r="AE10" i="18"/>
  <c r="AG3" i="16"/>
  <c r="AG51" i="16" s="1"/>
  <c r="AF13" i="16"/>
  <c r="AG4" i="16"/>
  <c r="AF69" i="16"/>
  <c r="AG103" i="16" l="1"/>
  <c r="AG102" i="16"/>
  <c r="AG104" i="16"/>
  <c r="AG100" i="16" s="1"/>
  <c r="AG10" i="16" s="1"/>
  <c r="AF3" i="18"/>
  <c r="AF98" i="16"/>
  <c r="AF19" i="16" s="1"/>
  <c r="AF6" i="18" s="1"/>
  <c r="AE16" i="16"/>
  <c r="AD43" i="16"/>
  <c r="AE35" i="16"/>
  <c r="AE29" i="16" s="1"/>
  <c r="AE7" i="18"/>
  <c r="AE8" i="18" s="1"/>
  <c r="AF36" i="16"/>
  <c r="AF37" i="16"/>
  <c r="AF20" i="16"/>
  <c r="AF70" i="16"/>
  <c r="AF71" i="16" s="1"/>
  <c r="AF17" i="18" s="1"/>
  <c r="AF38" i="16"/>
  <c r="AF18" i="16"/>
  <c r="AE39" i="16"/>
  <c r="AF23" i="16" s="1"/>
  <c r="AF68" i="16"/>
  <c r="AF17" i="16"/>
  <c r="AF5" i="18" s="1"/>
  <c r="AG5" i="16"/>
  <c r="AG52" i="16" s="1"/>
  <c r="AG4" i="18"/>
  <c r="AG14" i="16"/>
  <c r="AG11" i="18" s="1"/>
  <c r="AH1" i="16"/>
  <c r="AG73" i="16"/>
  <c r="AG16" i="18" s="1"/>
  <c r="AG31" i="16"/>
  <c r="AG45" i="16"/>
  <c r="U82" i="16"/>
  <c r="U79" i="16"/>
  <c r="Y87" i="16"/>
  <c r="Y84" i="16"/>
  <c r="V76" i="16"/>
  <c r="W83" i="16" s="1"/>
  <c r="AF10" i="18"/>
  <c r="AF12" i="16"/>
  <c r="AH3" i="16"/>
  <c r="AH51" i="16" s="1"/>
  <c r="AG13" i="16"/>
  <c r="AG69" i="16"/>
  <c r="AH4" i="16"/>
  <c r="AH103" i="16" l="1"/>
  <c r="AH102" i="16"/>
  <c r="AH104" i="16"/>
  <c r="AH100" i="16" s="1"/>
  <c r="AH10" i="16" s="1"/>
  <c r="AF35" i="16"/>
  <c r="AF29" i="16" s="1"/>
  <c r="AG38" i="16"/>
  <c r="AG98" i="16"/>
  <c r="AG19" i="16" s="1"/>
  <c r="AG6" i="18" s="1"/>
  <c r="AF7" i="18"/>
  <c r="AF8" i="18" s="1"/>
  <c r="AG18" i="16"/>
  <c r="AE43" i="16"/>
  <c r="AG20" i="16"/>
  <c r="AG36" i="16"/>
  <c r="AG37" i="16"/>
  <c r="AF39" i="16"/>
  <c r="AG23" i="16" s="1"/>
  <c r="AG17" i="16"/>
  <c r="AG5" i="18" s="1"/>
  <c r="AG68" i="16"/>
  <c r="AG3" i="18"/>
  <c r="AF16" i="16"/>
  <c r="AH5" i="16"/>
  <c r="AH4" i="18"/>
  <c r="AG70" i="16"/>
  <c r="AH14" i="16"/>
  <c r="AH11" i="18" s="1"/>
  <c r="AI1" i="16"/>
  <c r="AH73" i="16"/>
  <c r="AH16" i="18" s="1"/>
  <c r="AH31" i="16"/>
  <c r="AH45" i="16"/>
  <c r="U75" i="16"/>
  <c r="U30" i="16" s="1"/>
  <c r="Y77" i="16"/>
  <c r="V86" i="16"/>
  <c r="V79" i="16" s="1"/>
  <c r="Y80" i="16"/>
  <c r="Z78" i="16"/>
  <c r="AA85" i="16" s="1"/>
  <c r="AG10" i="18"/>
  <c r="AG12" i="16"/>
  <c r="AI3" i="16"/>
  <c r="AI51" i="16" s="1"/>
  <c r="AH13" i="16"/>
  <c r="AI4" i="16"/>
  <c r="AH69" i="16"/>
  <c r="AH20" i="16" l="1"/>
  <c r="AH52" i="16"/>
  <c r="AI104" i="16"/>
  <c r="AI100" i="16" s="1"/>
  <c r="AI10" i="16" s="1"/>
  <c r="AI102" i="16"/>
  <c r="AI103" i="16"/>
  <c r="AH98" i="16"/>
  <c r="AH19" i="16" s="1"/>
  <c r="AH6" i="18" s="1"/>
  <c r="AF43" i="16"/>
  <c r="AG35" i="16"/>
  <c r="AG29" i="16" s="1"/>
  <c r="AH18" i="16"/>
  <c r="AG39" i="16"/>
  <c r="AH23" i="16" s="1"/>
  <c r="AG7" i="18"/>
  <c r="AG8" i="18" s="1"/>
  <c r="AG16" i="16"/>
  <c r="AH17" i="16"/>
  <c r="AH5" i="18" s="1"/>
  <c r="AH3" i="18"/>
  <c r="AH68" i="16"/>
  <c r="AH36" i="16"/>
  <c r="AH37" i="16"/>
  <c r="AH70" i="16"/>
  <c r="AH71" i="16" s="1"/>
  <c r="AH17" i="18" s="1"/>
  <c r="AH38" i="16"/>
  <c r="AI5" i="16"/>
  <c r="AI52" i="16" s="1"/>
  <c r="AI4" i="18"/>
  <c r="AG71" i="16"/>
  <c r="AG17" i="18" s="1"/>
  <c r="AI14" i="16"/>
  <c r="AI11" i="18" s="1"/>
  <c r="AJ1" i="16"/>
  <c r="AI73" i="16"/>
  <c r="AI16" i="18" s="1"/>
  <c r="G34" i="18" s="1"/>
  <c r="AI31" i="16"/>
  <c r="AI45" i="16"/>
  <c r="V75" i="16"/>
  <c r="V30" i="16" s="1"/>
  <c r="Z87" i="16"/>
  <c r="Z80" i="16" s="1"/>
  <c r="W86" i="16"/>
  <c r="W82" i="16" s="1"/>
  <c r="V82" i="16"/>
  <c r="Z84" i="16"/>
  <c r="Z77" i="16" s="1"/>
  <c r="W76" i="16"/>
  <c r="X83" i="16" s="1"/>
  <c r="AH10" i="18"/>
  <c r="AH12" i="16"/>
  <c r="AJ3" i="16"/>
  <c r="AJ51" i="16" s="1"/>
  <c r="AI13" i="16"/>
  <c r="AI69" i="16"/>
  <c r="AJ4" i="16"/>
  <c r="AH7" i="18" l="1"/>
  <c r="AH8" i="18" s="1"/>
  <c r="AJ73" i="16"/>
  <c r="AJ16" i="18" s="1"/>
  <c r="AJ102" i="16"/>
  <c r="AJ103" i="16"/>
  <c r="AJ104" i="16"/>
  <c r="AJ100" i="16" s="1"/>
  <c r="AJ10" i="16" s="1"/>
  <c r="AG43" i="16"/>
  <c r="AI18" i="16"/>
  <c r="AI98" i="16"/>
  <c r="AI19" i="16" s="1"/>
  <c r="AI6" i="18" s="1"/>
  <c r="AH35" i="16"/>
  <c r="AH29" i="16" s="1"/>
  <c r="AH16" i="16"/>
  <c r="AI20" i="16"/>
  <c r="AI37" i="16"/>
  <c r="AI36" i="16"/>
  <c r="AI70" i="16"/>
  <c r="AI71" i="16" s="1"/>
  <c r="AI17" i="18" s="1"/>
  <c r="H34" i="18" s="1"/>
  <c r="B41" i="18" s="1"/>
  <c r="AI38" i="16"/>
  <c r="AI17" i="16"/>
  <c r="AI5" i="18" s="1"/>
  <c r="AI68" i="16"/>
  <c r="AI3" i="18"/>
  <c r="AJ5" i="16"/>
  <c r="AJ4" i="18"/>
  <c r="AH39" i="16"/>
  <c r="AI23" i="16" s="1"/>
  <c r="AJ14" i="16"/>
  <c r="AJ11" i="18" s="1"/>
  <c r="AJ31" i="16"/>
  <c r="AJ45" i="16"/>
  <c r="AA84" i="16"/>
  <c r="AA87" i="16"/>
  <c r="W79" i="16"/>
  <c r="AA78" i="16"/>
  <c r="AB85" i="16" s="1"/>
  <c r="AI10" i="18"/>
  <c r="AI12" i="16"/>
  <c r="AJ13" i="16"/>
  <c r="AJ69" i="16"/>
  <c r="AJ3" i="18" l="1"/>
  <c r="AJ52" i="16"/>
  <c r="AI35" i="16"/>
  <c r="AI29" i="16" s="1"/>
  <c r="AJ17" i="16"/>
  <c r="AJ5" i="18" s="1"/>
  <c r="AI7" i="18"/>
  <c r="AI8" i="18" s="1"/>
  <c r="AJ38" i="16"/>
  <c r="AJ98" i="16"/>
  <c r="AJ19" i="16" s="1"/>
  <c r="AJ6" i="18" s="1"/>
  <c r="AJ70" i="16"/>
  <c r="AJ71" i="16" s="1"/>
  <c r="AJ17" i="18" s="1"/>
  <c r="AJ20" i="16"/>
  <c r="AJ37" i="16"/>
  <c r="AJ36" i="16"/>
  <c r="AJ68" i="16"/>
  <c r="AI16" i="16"/>
  <c r="AJ18" i="16"/>
  <c r="AI39" i="16"/>
  <c r="AJ23" i="16" s="1"/>
  <c r="AH43" i="16"/>
  <c r="X86" i="16"/>
  <c r="X82" i="16" s="1"/>
  <c r="AA80" i="16"/>
  <c r="W75" i="16"/>
  <c r="W30" i="16" s="1"/>
  <c r="AA77" i="16"/>
  <c r="X76" i="16"/>
  <c r="Y83" i="16" s="1"/>
  <c r="AJ12" i="16"/>
  <c r="AJ10" i="18"/>
  <c r="AJ35" i="16" l="1"/>
  <c r="AJ29" i="16" s="1"/>
  <c r="AJ16" i="16"/>
  <c r="AJ7" i="18"/>
  <c r="AJ8" i="18" s="1"/>
  <c r="C34" i="18" s="1"/>
  <c r="B36" i="18" s="1"/>
  <c r="AI43" i="16"/>
  <c r="AB84" i="16"/>
  <c r="X79" i="16"/>
  <c r="X75" i="16" s="1"/>
  <c r="X30" i="16" s="1"/>
  <c r="AB87" i="16"/>
  <c r="AB80" i="16" s="1"/>
  <c r="Y76" i="16"/>
  <c r="Z83" i="16" s="1"/>
  <c r="AB78" i="16"/>
  <c r="AC85" i="16" s="1"/>
  <c r="AJ39" i="16"/>
  <c r="Y86" i="16" l="1"/>
  <c r="Y79" i="16" s="1"/>
  <c r="AC87" i="16"/>
  <c r="AB77" i="16"/>
  <c r="AC84" i="16" s="1"/>
  <c r="AJ43" i="16"/>
  <c r="Y75" i="16" l="1"/>
  <c r="Y30" i="16" s="1"/>
  <c r="AC77" i="16"/>
  <c r="Z86" i="16"/>
  <c r="Y82" i="16"/>
  <c r="AC80" i="16"/>
  <c r="Z76" i="16"/>
  <c r="AA83" i="16" s="1"/>
  <c r="AC78" i="16"/>
  <c r="AD85" i="16" s="1"/>
  <c r="Z82" i="16" l="1"/>
  <c r="AD87" i="16"/>
  <c r="AD80" i="16" s="1"/>
  <c r="Z79" i="16"/>
  <c r="Z75" i="16" s="1"/>
  <c r="Z30" i="16" s="1"/>
  <c r="AD84" i="16"/>
  <c r="AD78" i="16"/>
  <c r="AE85" i="16" s="1"/>
  <c r="AD77" i="16" l="1"/>
  <c r="AE87" i="16"/>
  <c r="AA86" i="16"/>
  <c r="AA76" i="16"/>
  <c r="AE78" i="16"/>
  <c r="AF85" i="16" s="1"/>
  <c r="AB83" i="16" l="1"/>
  <c r="AA79" i="16"/>
  <c r="AA82" i="16"/>
  <c r="AE84" i="16"/>
  <c r="AE77" i="16" s="1"/>
  <c r="AE80" i="16"/>
  <c r="AF78" i="16"/>
  <c r="AG85" i="16" s="1"/>
  <c r="AA75" i="16" l="1"/>
  <c r="AA30" i="16" s="1"/>
  <c r="AF84" i="16"/>
  <c r="AF87" i="16"/>
  <c r="AB86" i="16"/>
  <c r="AB82" i="16" s="1"/>
  <c r="AB76" i="16"/>
  <c r="AC83" i="16" s="1"/>
  <c r="AG78" i="16"/>
  <c r="AH85" i="16" s="1"/>
  <c r="AF77" i="16" l="1"/>
  <c r="AB79" i="16"/>
  <c r="AB75" i="16" s="1"/>
  <c r="AB30" i="16" s="1"/>
  <c r="AF80" i="16"/>
  <c r="AC76" i="16"/>
  <c r="AD83" i="16" s="1"/>
  <c r="AC86" i="16" l="1"/>
  <c r="AG87" i="16"/>
  <c r="AG80" i="16" s="1"/>
  <c r="AG84" i="16"/>
  <c r="AG77" i="16" s="1"/>
  <c r="AH78" i="16"/>
  <c r="AI85" i="16" s="1"/>
  <c r="AH84" i="16" l="1"/>
  <c r="AH87" i="16"/>
  <c r="AH80" i="16" s="1"/>
  <c r="AC82" i="16"/>
  <c r="AC79" i="16"/>
  <c r="AD86" i="16" s="1"/>
  <c r="AD76" i="16"/>
  <c r="AE83" i="16" s="1"/>
  <c r="AI78" i="16"/>
  <c r="AJ85" i="16" s="1"/>
  <c r="AD82" i="16" l="1"/>
  <c r="AD79" i="16"/>
  <c r="AD75" i="16" s="1"/>
  <c r="AD30" i="16" s="1"/>
  <c r="AC75" i="16"/>
  <c r="AC30" i="16" s="1"/>
  <c r="AI87" i="16"/>
  <c r="AH77" i="16"/>
  <c r="AJ78" i="16"/>
  <c r="AI80" i="16" l="1"/>
  <c r="AI84" i="16"/>
  <c r="AE86" i="16"/>
  <c r="AE82" i="16" s="1"/>
  <c r="AE76" i="16"/>
  <c r="AF83" i="16" s="1"/>
  <c r="AE79" i="16" l="1"/>
  <c r="AE75" i="16" s="1"/>
  <c r="AE30" i="16" s="1"/>
  <c r="AI77" i="16"/>
  <c r="AJ84" i="16" s="1"/>
  <c r="AJ87" i="16"/>
  <c r="AJ80" i="16" s="1"/>
  <c r="AF76" i="16"/>
  <c r="AF86" i="16" l="1"/>
  <c r="AJ77" i="16"/>
  <c r="AG83" i="16"/>
  <c r="AF82" i="16" l="1"/>
  <c r="AF79" i="16"/>
  <c r="AG86" i="16" s="1"/>
  <c r="AG76" i="16"/>
  <c r="AH83" i="16" s="1"/>
  <c r="AG82" i="16" l="1"/>
  <c r="AG79" i="16"/>
  <c r="AH86" i="16" s="1"/>
  <c r="AF75" i="16"/>
  <c r="AF30" i="16" s="1"/>
  <c r="AG75" i="16" l="1"/>
  <c r="AG30" i="16" s="1"/>
  <c r="AH82" i="16"/>
  <c r="AH79" i="16"/>
  <c r="AH76" i="16"/>
  <c r="AI83" i="16" s="1"/>
  <c r="AI86" i="16" l="1"/>
  <c r="AH75" i="16"/>
  <c r="AH30" i="16" s="1"/>
  <c r="AI76" i="16"/>
  <c r="AJ83" i="16" s="1"/>
  <c r="AI79" i="16" l="1"/>
  <c r="AI82" i="16"/>
  <c r="AI75" i="16" l="1"/>
  <c r="AI30" i="16" s="1"/>
  <c r="AJ86" i="16"/>
  <c r="AJ82" i="16" s="1"/>
  <c r="AJ76" i="16"/>
  <c r="AJ79" i="16" l="1"/>
  <c r="AJ75" i="16" s="1"/>
  <c r="AJ30" i="16" s="1"/>
  <c r="B5" i="23" l="1"/>
  <c r="B1" i="23" s="1"/>
  <c r="B11" i="5" s="1"/>
  <c r="B1" i="5" l="1"/>
  <c r="B3" i="5"/>
  <c r="B28" i="16" l="1"/>
  <c r="C28" i="16" s="1"/>
  <c r="D28" i="16" s="1"/>
  <c r="E28" i="16" s="1"/>
  <c r="F28" i="16" s="1"/>
  <c r="G28" i="16" s="1"/>
  <c r="H28" i="16" s="1"/>
  <c r="I28" i="16" s="1"/>
  <c r="J28" i="16" s="1"/>
  <c r="K28" i="16" s="1"/>
  <c r="L28" i="16" s="1"/>
  <c r="M28" i="16" s="1"/>
  <c r="N28" i="16" s="1"/>
  <c r="O28" i="16" s="1"/>
  <c r="P28" i="16" s="1"/>
  <c r="Q28" i="16" s="1"/>
  <c r="R28" i="16" s="1"/>
  <c r="S28" i="16" s="1"/>
  <c r="T28" i="16" s="1"/>
  <c r="U28" i="16" s="1"/>
  <c r="V28" i="16" s="1"/>
  <c r="W28" i="16" s="1"/>
  <c r="X28" i="16" s="1"/>
  <c r="Y28" i="16" s="1"/>
  <c r="Z28" i="16" s="1"/>
  <c r="AA28" i="16" s="1"/>
  <c r="AB28" i="16" s="1"/>
  <c r="AC28" i="16" s="1"/>
  <c r="AD28" i="16" s="1"/>
  <c r="AE28" i="16" s="1"/>
  <c r="AF28" i="16" s="1"/>
  <c r="AG28" i="16" s="1"/>
  <c r="AH28" i="16" s="1"/>
  <c r="AI28" i="16" s="1"/>
  <c r="AJ28" i="16" s="1"/>
  <c r="B23" i="18"/>
  <c r="B30" i="18"/>
  <c r="B31" i="18"/>
  <c r="B21" i="18"/>
  <c r="B26" i="18"/>
  <c r="B22" i="18"/>
  <c r="B20" i="18"/>
  <c r="B24" i="18"/>
  <c r="B25" i="18"/>
  <c r="B27" i="18"/>
  <c r="B27" i="16" l="1"/>
  <c r="B9" i="18" s="1"/>
  <c r="B42" i="16" l="1"/>
  <c r="B41" i="16" s="1"/>
  <c r="B66" i="16" l="1"/>
  <c r="B48" i="16" l="1"/>
  <c r="C25" i="16"/>
  <c r="B65" i="16"/>
  <c r="C24" i="16" s="1"/>
  <c r="B53" i="16" l="1"/>
  <c r="B50" i="16" s="1"/>
  <c r="C22" i="16"/>
  <c r="C44" i="16" s="1"/>
  <c r="B64" i="16"/>
  <c r="B12" i="18" s="1"/>
  <c r="C32" i="16"/>
  <c r="B56" i="16" l="1"/>
  <c r="B55" i="16" s="1"/>
  <c r="B44" i="18" s="1"/>
  <c r="E44" i="18" s="1"/>
  <c r="E46" i="18" s="1"/>
  <c r="C15" i="18"/>
  <c r="C14" i="18" s="1"/>
  <c r="C13" i="18" s="1"/>
  <c r="C33" i="16" l="1"/>
  <c r="C27" i="16" s="1"/>
  <c r="C42" i="16" s="1"/>
  <c r="C41" i="16" s="1"/>
  <c r="C9" i="18" l="1"/>
  <c r="C66" i="16"/>
  <c r="C65" i="16"/>
  <c r="D24" i="16" l="1"/>
  <c r="C64" i="16"/>
  <c r="C12" i="18" s="1"/>
  <c r="C48" i="16"/>
  <c r="C53" i="16" s="1"/>
  <c r="C50" i="16" s="1"/>
  <c r="C56" i="16" s="1"/>
  <c r="D25" i="16"/>
  <c r="D22" i="16" l="1"/>
  <c r="D44" i="16" s="1"/>
  <c r="C55" i="16"/>
  <c r="D33" i="16" s="1"/>
  <c r="D32" i="16"/>
  <c r="D27" i="16" l="1"/>
  <c r="D42" i="16" s="1"/>
  <c r="D41" i="16" s="1"/>
  <c r="D15" i="18"/>
  <c r="D14" i="18" s="1"/>
  <c r="D13" i="18" s="1"/>
  <c r="D9" i="18" l="1"/>
  <c r="D65" i="16"/>
  <c r="D66" i="16"/>
  <c r="D48" i="16" l="1"/>
  <c r="D53" i="16" s="1"/>
  <c r="D50" i="16" s="1"/>
  <c r="D56" i="16" s="1"/>
  <c r="E25" i="16"/>
  <c r="D64" i="16"/>
  <c r="D12" i="18" s="1"/>
  <c r="E24" i="16"/>
  <c r="E22" i="16" l="1"/>
  <c r="E15" i="18" s="1"/>
  <c r="E14" i="18" s="1"/>
  <c r="E13" i="18" s="1"/>
  <c r="E32" i="16"/>
  <c r="D55" i="16"/>
  <c r="E33" i="16" s="1"/>
  <c r="E27" i="16" l="1"/>
  <c r="E42" i="16" s="1"/>
  <c r="E44" i="16"/>
  <c r="E41" i="16" l="1"/>
  <c r="E65" i="16" s="1"/>
  <c r="E9" i="18"/>
  <c r="E66" i="16" l="1"/>
  <c r="E48" i="16" s="1"/>
  <c r="E53" i="16" s="1"/>
  <c r="E50" i="16" s="1"/>
  <c r="E56" i="16" s="1"/>
  <c r="F24" i="16"/>
  <c r="E64" i="16" l="1"/>
  <c r="E12" i="18" s="1"/>
  <c r="F25" i="16"/>
  <c r="F22" i="16" s="1"/>
  <c r="F15" i="18" s="1"/>
  <c r="F14" i="18" s="1"/>
  <c r="F13" i="18" s="1"/>
  <c r="F32" i="16"/>
  <c r="E55" i="16"/>
  <c r="F33" i="16" s="1"/>
  <c r="F27" i="16" s="1"/>
  <c r="F42" i="16" s="1"/>
  <c r="F44" i="16" l="1"/>
  <c r="F41" i="16" s="1"/>
  <c r="F66" i="16" s="1"/>
  <c r="F48" i="16" s="1"/>
  <c r="F53" i="16" s="1"/>
  <c r="F50" i="16" s="1"/>
  <c r="F56" i="16" s="1"/>
  <c r="F9" i="18"/>
  <c r="F65" i="16" l="1"/>
  <c r="F64" i="16" s="1"/>
  <c r="F12" i="18" s="1"/>
  <c r="G25" i="16"/>
  <c r="G24" i="16" l="1"/>
  <c r="G22" i="16" s="1"/>
  <c r="G15" i="18" s="1"/>
  <c r="G32" i="16"/>
  <c r="F55" i="16"/>
  <c r="G33" i="16" l="1"/>
  <c r="G27" i="16" s="1"/>
  <c r="G42" i="16" s="1"/>
  <c r="G44" i="16"/>
  <c r="G41" i="16" l="1"/>
  <c r="G9" i="18"/>
  <c r="G14" i="18"/>
  <c r="G13" i="18" s="1"/>
  <c r="G66" i="16" l="1"/>
  <c r="G48" i="16" s="1"/>
  <c r="G53" i="16" s="1"/>
  <c r="G50" i="16" s="1"/>
  <c r="G56" i="16" s="1"/>
  <c r="G65" i="16"/>
  <c r="G64" i="16" l="1"/>
  <c r="G12" i="18" s="1"/>
  <c r="H24" i="16"/>
  <c r="H25" i="16"/>
  <c r="G55" i="16" l="1"/>
  <c r="H32" i="16"/>
  <c r="H22" i="16"/>
  <c r="H15" i="18" s="1"/>
  <c r="H33" i="16" l="1"/>
  <c r="H27" i="16" s="1"/>
  <c r="H42" i="16" s="1"/>
  <c r="H44" i="16"/>
  <c r="H41" i="16" s="1"/>
  <c r="H9" i="18" l="1"/>
  <c r="H14" i="18"/>
  <c r="H13" i="18" s="1"/>
  <c r="H66" i="16" l="1"/>
  <c r="H48" i="16" s="1"/>
  <c r="H53" i="16" s="1"/>
  <c r="H50" i="16" s="1"/>
  <c r="H56" i="16" s="1"/>
  <c r="H65" i="16"/>
  <c r="H64" i="16" l="1"/>
  <c r="H12" i="18" s="1"/>
  <c r="I24" i="16"/>
  <c r="I25" i="16"/>
  <c r="I32" i="16" l="1"/>
  <c r="H55" i="16"/>
  <c r="I22" i="16"/>
  <c r="I15" i="18" s="1"/>
  <c r="I33" i="16" l="1"/>
  <c r="I27" i="16" s="1"/>
  <c r="I42" i="16" s="1"/>
  <c r="I44" i="16"/>
  <c r="I41" i="16" s="1"/>
  <c r="I9" i="18" l="1"/>
  <c r="I14" i="18"/>
  <c r="I13" i="18" s="1"/>
  <c r="I66" i="16" l="1"/>
  <c r="I48" i="16" s="1"/>
  <c r="I53" i="16" s="1"/>
  <c r="I50" i="16" s="1"/>
  <c r="I56" i="16" s="1"/>
  <c r="I65" i="16"/>
  <c r="I64" i="16" l="1"/>
  <c r="I12" i="18" s="1"/>
  <c r="J24" i="16"/>
  <c r="J25" i="16"/>
  <c r="I55" i="16" l="1"/>
  <c r="J33" i="16" s="1"/>
  <c r="J32" i="16"/>
  <c r="J22" i="16"/>
  <c r="J15" i="18" s="1"/>
  <c r="J27" i="16" l="1"/>
  <c r="J42" i="16" s="1"/>
  <c r="J44" i="16"/>
  <c r="J41" i="16" l="1"/>
  <c r="J14" i="18"/>
  <c r="J13" i="18" s="1"/>
  <c r="J9" i="18"/>
  <c r="J66" i="16" l="1"/>
  <c r="J48" i="16" s="1"/>
  <c r="J53" i="16" s="1"/>
  <c r="J50" i="16" s="1"/>
  <c r="J56" i="16" s="1"/>
  <c r="J65" i="16"/>
  <c r="J64" i="16" l="1"/>
  <c r="J12" i="18" s="1"/>
  <c r="K24" i="16"/>
  <c r="K25" i="16"/>
  <c r="K32" i="16" l="1"/>
  <c r="J55" i="16"/>
  <c r="K33" i="16" s="1"/>
  <c r="K22" i="16"/>
  <c r="K15" i="18" s="1"/>
  <c r="K44" i="16" l="1"/>
  <c r="K27" i="16"/>
  <c r="K42" i="16" s="1"/>
  <c r="K41" i="16" l="1"/>
  <c r="K9" i="18"/>
  <c r="K14" i="18"/>
  <c r="K13" i="18" s="1"/>
  <c r="K66" i="16" l="1"/>
  <c r="K48" i="16" s="1"/>
  <c r="K53" i="16" s="1"/>
  <c r="K50" i="16" s="1"/>
  <c r="K56" i="16" s="1"/>
  <c r="K65" i="16"/>
  <c r="K64" i="16" l="1"/>
  <c r="K12" i="18" s="1"/>
  <c r="L24" i="16"/>
  <c r="L25" i="16"/>
  <c r="L32" i="16" l="1"/>
  <c r="K55" i="16"/>
  <c r="L33" i="16" s="1"/>
  <c r="L22" i="16"/>
  <c r="L15" i="18" s="1"/>
  <c r="L44" i="16" l="1"/>
  <c r="L27" i="16"/>
  <c r="L42" i="16" s="1"/>
  <c r="L41" i="16" l="1"/>
  <c r="L9" i="18"/>
  <c r="L14" i="18"/>
  <c r="L13" i="18" s="1"/>
  <c r="L66" i="16" l="1"/>
  <c r="L48" i="16" s="1"/>
  <c r="L53" i="16" s="1"/>
  <c r="L50" i="16" s="1"/>
  <c r="L56" i="16" s="1"/>
  <c r="L65" i="16"/>
  <c r="L64" i="16" l="1"/>
  <c r="L12" i="18" s="1"/>
  <c r="M24" i="16"/>
  <c r="M25" i="16"/>
  <c r="M32" i="16" l="1"/>
  <c r="L55" i="16"/>
  <c r="M33" i="16" s="1"/>
  <c r="M22" i="16"/>
  <c r="M15" i="18" s="1"/>
  <c r="M44" i="16" l="1"/>
  <c r="M27" i="16"/>
  <c r="M42" i="16" s="1"/>
  <c r="M41" i="16" l="1"/>
  <c r="M9" i="18"/>
  <c r="M14" i="18"/>
  <c r="M13" i="18" s="1"/>
  <c r="M66" i="16" l="1"/>
  <c r="M48" i="16" s="1"/>
  <c r="M53" i="16" s="1"/>
  <c r="M50" i="16" s="1"/>
  <c r="M56" i="16" s="1"/>
  <c r="M65" i="16"/>
  <c r="M64" i="16" l="1"/>
  <c r="M12" i="18" s="1"/>
  <c r="N24" i="16"/>
  <c r="N25" i="16"/>
  <c r="N32" i="16" l="1"/>
  <c r="M55" i="16"/>
  <c r="N33" i="16" s="1"/>
  <c r="N22" i="16"/>
  <c r="N15" i="18" s="1"/>
  <c r="N44" i="16" l="1"/>
  <c r="N27" i="16"/>
  <c r="N42" i="16" s="1"/>
  <c r="N41" i="16" l="1"/>
  <c r="N9" i="18"/>
  <c r="N14" i="18"/>
  <c r="N13" i="18" s="1"/>
  <c r="N66" i="16" l="1"/>
  <c r="N48" i="16" s="1"/>
  <c r="N53" i="16" s="1"/>
  <c r="N50" i="16" s="1"/>
  <c r="N56" i="16" s="1"/>
  <c r="N65" i="16"/>
  <c r="N64" i="16" l="1"/>
  <c r="N12" i="18" s="1"/>
  <c r="O24" i="16"/>
  <c r="O25" i="16"/>
  <c r="N55" i="16" l="1"/>
  <c r="O33" i="16" s="1"/>
  <c r="O32" i="16"/>
  <c r="O22" i="16"/>
  <c r="O15" i="18" s="1"/>
  <c r="O44" i="16" l="1"/>
  <c r="O27" i="16"/>
  <c r="O42" i="16" s="1"/>
  <c r="O41" i="16" l="1"/>
  <c r="O9" i="18"/>
  <c r="O14" i="18"/>
  <c r="O13" i="18" s="1"/>
  <c r="O66" i="16" l="1"/>
  <c r="O48" i="16" s="1"/>
  <c r="O53" i="16" s="1"/>
  <c r="O50" i="16" s="1"/>
  <c r="O56" i="16" s="1"/>
  <c r="O65" i="16"/>
  <c r="O64" i="16" l="1"/>
  <c r="O12" i="18" s="1"/>
  <c r="P24" i="16"/>
  <c r="P25" i="16"/>
  <c r="P32" i="16" l="1"/>
  <c r="O55" i="16"/>
  <c r="P33" i="16" s="1"/>
  <c r="P22" i="16"/>
  <c r="P15" i="18" s="1"/>
  <c r="P44" i="16" l="1"/>
  <c r="P27" i="16"/>
  <c r="P42" i="16" s="1"/>
  <c r="P41" i="16" l="1"/>
  <c r="P9" i="18"/>
  <c r="P14" i="18"/>
  <c r="P13" i="18" s="1"/>
  <c r="P66" i="16" l="1"/>
  <c r="P48" i="16" s="1"/>
  <c r="P53" i="16" s="1"/>
  <c r="P50" i="16" s="1"/>
  <c r="P56" i="16" s="1"/>
  <c r="P65" i="16"/>
  <c r="P64" i="16" l="1"/>
  <c r="P12" i="18" s="1"/>
  <c r="Q24" i="16"/>
  <c r="Q25" i="16"/>
  <c r="P55" i="16" l="1"/>
  <c r="Q33" i="16" s="1"/>
  <c r="Q32" i="16"/>
  <c r="Q22" i="16"/>
  <c r="Q15" i="18" s="1"/>
  <c r="Q44" i="16" l="1"/>
  <c r="Q27" i="16"/>
  <c r="Q42" i="16" s="1"/>
  <c r="Q41" i="16" l="1"/>
  <c r="Q9" i="18"/>
  <c r="Q14" i="18"/>
  <c r="Q13" i="18" s="1"/>
  <c r="Q66" i="16" l="1"/>
  <c r="Q48" i="16" s="1"/>
  <c r="Q53" i="16" s="1"/>
  <c r="Q50" i="16" s="1"/>
  <c r="Q56" i="16" s="1"/>
  <c r="Q65" i="16"/>
  <c r="Q64" i="16" l="1"/>
  <c r="Q12" i="18" s="1"/>
  <c r="R24" i="16"/>
  <c r="R25" i="16"/>
  <c r="R32" i="16" l="1"/>
  <c r="Q55" i="16"/>
  <c r="R33" i="16" s="1"/>
  <c r="R22" i="16"/>
  <c r="R15" i="18" s="1"/>
  <c r="R44" i="16" l="1"/>
  <c r="R27" i="16"/>
  <c r="R42" i="16" s="1"/>
  <c r="R41" i="16" l="1"/>
  <c r="R9" i="18"/>
  <c r="R14" i="18"/>
  <c r="R13" i="18" s="1"/>
  <c r="R66" i="16" l="1"/>
  <c r="R48" i="16" s="1"/>
  <c r="R53" i="16" s="1"/>
  <c r="R50" i="16" s="1"/>
  <c r="R56" i="16" s="1"/>
  <c r="R65" i="16"/>
  <c r="R64" i="16" l="1"/>
  <c r="R12" i="18" s="1"/>
  <c r="S24" i="16"/>
  <c r="S25" i="16"/>
  <c r="S32" i="16" l="1"/>
  <c r="R55" i="16"/>
  <c r="S33" i="16" s="1"/>
  <c r="S22" i="16"/>
  <c r="S15" i="18" s="1"/>
  <c r="S44" i="16" l="1"/>
  <c r="S27" i="16"/>
  <c r="S42" i="16" s="1"/>
  <c r="S41" i="16" l="1"/>
  <c r="S9" i="18"/>
  <c r="S14" i="18"/>
  <c r="S13" i="18" s="1"/>
  <c r="S66" i="16" l="1"/>
  <c r="S48" i="16" s="1"/>
  <c r="S53" i="16" s="1"/>
  <c r="S50" i="16" s="1"/>
  <c r="S56" i="16" s="1"/>
  <c r="S65" i="16"/>
  <c r="S64" i="16" l="1"/>
  <c r="S12" i="18" s="1"/>
  <c r="T24" i="16"/>
  <c r="T25" i="16"/>
  <c r="T32" i="16" l="1"/>
  <c r="S55" i="16"/>
  <c r="T33" i="16" s="1"/>
  <c r="T22" i="16"/>
  <c r="T15" i="18" s="1"/>
  <c r="T44" i="16" l="1"/>
  <c r="T27" i="16"/>
  <c r="T42" i="16" s="1"/>
  <c r="T41" i="16" l="1"/>
  <c r="T9" i="18"/>
  <c r="T14" i="18"/>
  <c r="T13" i="18" s="1"/>
  <c r="T66" i="16" l="1"/>
  <c r="T48" i="16" s="1"/>
  <c r="T53" i="16" s="1"/>
  <c r="T50" i="16" s="1"/>
  <c r="T56" i="16" s="1"/>
  <c r="T65" i="16"/>
  <c r="T64" i="16" l="1"/>
  <c r="T12" i="18" s="1"/>
  <c r="U24" i="16"/>
  <c r="U25" i="16"/>
  <c r="U32" i="16" l="1"/>
  <c r="T55" i="16"/>
  <c r="U33" i="16" s="1"/>
  <c r="U22" i="16"/>
  <c r="U15" i="18" s="1"/>
  <c r="U44" i="16" l="1"/>
  <c r="U27" i="16"/>
  <c r="U42" i="16" s="1"/>
  <c r="U41" i="16" l="1"/>
  <c r="U9" i="18"/>
  <c r="U14" i="18"/>
  <c r="U13" i="18" s="1"/>
  <c r="U66" i="16" l="1"/>
  <c r="U48" i="16" s="1"/>
  <c r="U53" i="16" s="1"/>
  <c r="U50" i="16" s="1"/>
  <c r="U56" i="16" s="1"/>
  <c r="U65" i="16"/>
  <c r="U64" i="16" l="1"/>
  <c r="U12" i="18" s="1"/>
  <c r="V24" i="16"/>
  <c r="V25" i="16"/>
  <c r="U55" i="16" l="1"/>
  <c r="V33" i="16" s="1"/>
  <c r="V32" i="16"/>
  <c r="V22" i="16"/>
  <c r="V15" i="18" s="1"/>
  <c r="V44" i="16" l="1"/>
  <c r="V27" i="16"/>
  <c r="V42" i="16" s="1"/>
  <c r="V41" i="16" l="1"/>
  <c r="V9" i="18"/>
  <c r="V14" i="18"/>
  <c r="V13" i="18" s="1"/>
  <c r="V66" i="16" l="1"/>
  <c r="V48" i="16" s="1"/>
  <c r="V53" i="16" s="1"/>
  <c r="V50" i="16" s="1"/>
  <c r="V56" i="16" s="1"/>
  <c r="V65" i="16"/>
  <c r="V64" i="16" l="1"/>
  <c r="V12" i="18" s="1"/>
  <c r="W24" i="16"/>
  <c r="W25" i="16"/>
  <c r="W32" i="16" l="1"/>
  <c r="V55" i="16"/>
  <c r="W33" i="16" s="1"/>
  <c r="W22" i="16"/>
  <c r="W15" i="18" s="1"/>
  <c r="W44" i="16" l="1"/>
  <c r="W27" i="16"/>
  <c r="W42" i="16" s="1"/>
  <c r="W41" i="16" l="1"/>
  <c r="W9" i="18"/>
  <c r="W14" i="18"/>
  <c r="W13" i="18" s="1"/>
  <c r="W66" i="16" l="1"/>
  <c r="W48" i="16" s="1"/>
  <c r="W53" i="16" s="1"/>
  <c r="W50" i="16" s="1"/>
  <c r="W56" i="16" s="1"/>
  <c r="W65" i="16"/>
  <c r="W64" i="16" l="1"/>
  <c r="W12" i="18" s="1"/>
  <c r="X24" i="16"/>
  <c r="X25" i="16"/>
  <c r="W55" i="16" l="1"/>
  <c r="X33" i="16" s="1"/>
  <c r="X32" i="16"/>
  <c r="X22" i="16"/>
  <c r="X15" i="18" s="1"/>
  <c r="X44" i="16" l="1"/>
  <c r="X27" i="16"/>
  <c r="X42" i="16" s="1"/>
  <c r="X41" i="16" l="1"/>
  <c r="X9" i="18"/>
  <c r="X14" i="18"/>
  <c r="X13" i="18" s="1"/>
  <c r="X66" i="16" l="1"/>
  <c r="X48" i="16" s="1"/>
  <c r="X53" i="16" s="1"/>
  <c r="X50" i="16" s="1"/>
  <c r="X56" i="16" s="1"/>
  <c r="X65" i="16"/>
  <c r="X64" i="16" l="1"/>
  <c r="X12" i="18" s="1"/>
  <c r="Y24" i="16"/>
  <c r="Y25" i="16"/>
  <c r="X55" i="16" l="1"/>
  <c r="Y33" i="16" s="1"/>
  <c r="Y32" i="16"/>
  <c r="Y22" i="16"/>
  <c r="Y15" i="18" s="1"/>
  <c r="Y44" i="16" l="1"/>
  <c r="Y27" i="16"/>
  <c r="Y42" i="16" s="1"/>
  <c r="Y41" i="16" l="1"/>
  <c r="Y9" i="18"/>
  <c r="Y14" i="18"/>
  <c r="Y13" i="18" s="1"/>
  <c r="Y66" i="16" l="1"/>
  <c r="Y48" i="16" s="1"/>
  <c r="Y53" i="16" s="1"/>
  <c r="Y50" i="16" s="1"/>
  <c r="Y56" i="16" s="1"/>
  <c r="Y65" i="16"/>
  <c r="Y64" i="16" l="1"/>
  <c r="Y12" i="18" s="1"/>
  <c r="Z24" i="16"/>
  <c r="Z25" i="16"/>
  <c r="Y55" i="16" l="1"/>
  <c r="Z33" i="16" s="1"/>
  <c r="Z32" i="16"/>
  <c r="Z22" i="16"/>
  <c r="Z15" i="18" s="1"/>
  <c r="Z44" i="16" l="1"/>
  <c r="Z27" i="16"/>
  <c r="Z42" i="16" s="1"/>
  <c r="Z41" i="16" l="1"/>
  <c r="Z9" i="18"/>
  <c r="Z14" i="18"/>
  <c r="Z13" i="18" s="1"/>
  <c r="Z66" i="16" l="1"/>
  <c r="Z48" i="16" s="1"/>
  <c r="Z53" i="16" s="1"/>
  <c r="Z50" i="16" s="1"/>
  <c r="Z56" i="16" s="1"/>
  <c r="Z65" i="16"/>
  <c r="Z64" i="16" l="1"/>
  <c r="Z12" i="18" s="1"/>
  <c r="AA24" i="16"/>
  <c r="AA25" i="16"/>
  <c r="Z55" i="16" l="1"/>
  <c r="AA33" i="16" s="1"/>
  <c r="AA32" i="16"/>
  <c r="AA22" i="16"/>
  <c r="AA15" i="18" s="1"/>
  <c r="AA44" i="16" l="1"/>
  <c r="AA27" i="16"/>
  <c r="AA42" i="16" s="1"/>
  <c r="AA41" i="16" l="1"/>
  <c r="AA9" i="18"/>
  <c r="AA14" i="18"/>
  <c r="AA13" i="18" s="1"/>
  <c r="AA66" i="16" l="1"/>
  <c r="AA48" i="16" s="1"/>
  <c r="AA53" i="16" s="1"/>
  <c r="AA50" i="16" s="1"/>
  <c r="AA56" i="16" s="1"/>
  <c r="AA65" i="16"/>
  <c r="AA64" i="16" l="1"/>
  <c r="AA12" i="18" s="1"/>
  <c r="AB24" i="16"/>
  <c r="AB25" i="16"/>
  <c r="AA55" i="16" l="1"/>
  <c r="AB33" i="16" s="1"/>
  <c r="AB32" i="16"/>
  <c r="AB22" i="16"/>
  <c r="AB15" i="18" s="1"/>
  <c r="AB44" i="16" l="1"/>
  <c r="AB27" i="16"/>
  <c r="AB42" i="16" s="1"/>
  <c r="AB41" i="16" l="1"/>
  <c r="AB9" i="18"/>
  <c r="AB14" i="18"/>
  <c r="AB13" i="18" s="1"/>
  <c r="AB66" i="16" l="1"/>
  <c r="AB48" i="16" s="1"/>
  <c r="AB53" i="16" s="1"/>
  <c r="AB50" i="16" s="1"/>
  <c r="AB56" i="16" s="1"/>
  <c r="AB65" i="16"/>
  <c r="AB64" i="16" l="1"/>
  <c r="AB12" i="18" s="1"/>
  <c r="AC24" i="16"/>
  <c r="AC25" i="16"/>
  <c r="AB55" i="16" l="1"/>
  <c r="AC33" i="16" s="1"/>
  <c r="AC32" i="16"/>
  <c r="AC22" i="16"/>
  <c r="AC15" i="18" s="1"/>
  <c r="AC44" i="16" l="1"/>
  <c r="AC27" i="16"/>
  <c r="AC42" i="16" s="1"/>
  <c r="AC41" i="16" l="1"/>
  <c r="AC9" i="18"/>
  <c r="AC14" i="18"/>
  <c r="AC13" i="18" s="1"/>
  <c r="AC66" i="16" l="1"/>
  <c r="AC48" i="16" s="1"/>
  <c r="AC53" i="16" s="1"/>
  <c r="AC50" i="16" s="1"/>
  <c r="AC56" i="16" s="1"/>
  <c r="AC65" i="16"/>
  <c r="AC64" i="16" l="1"/>
  <c r="AC12" i="18" s="1"/>
  <c r="AD24" i="16"/>
  <c r="AD25" i="16"/>
  <c r="AD32" i="16" l="1"/>
  <c r="AC55" i="16"/>
  <c r="AD33" i="16" s="1"/>
  <c r="AD22" i="16"/>
  <c r="AD15" i="18" s="1"/>
  <c r="AD44" i="16" l="1"/>
  <c r="AD27" i="16"/>
  <c r="AD42" i="16" s="1"/>
  <c r="AD41" i="16" l="1"/>
  <c r="AD9" i="18"/>
  <c r="AD14" i="18"/>
  <c r="AD13" i="18" s="1"/>
  <c r="AD66" i="16" l="1"/>
  <c r="AD48" i="16" s="1"/>
  <c r="AD53" i="16" s="1"/>
  <c r="AD50" i="16" s="1"/>
  <c r="AD56" i="16" s="1"/>
  <c r="AD65" i="16"/>
  <c r="AD64" i="16" l="1"/>
  <c r="AD12" i="18" s="1"/>
  <c r="AE24" i="16"/>
  <c r="AE25" i="16"/>
  <c r="AD55" i="16" l="1"/>
  <c r="AE33" i="16" s="1"/>
  <c r="AE32" i="16"/>
  <c r="AE22" i="16"/>
  <c r="AE15" i="18" s="1"/>
  <c r="AE44" i="16" l="1"/>
  <c r="AE27" i="16"/>
  <c r="AE42" i="16" s="1"/>
  <c r="AE41" i="16" l="1"/>
  <c r="AE9" i="18"/>
  <c r="AE14" i="18"/>
  <c r="AE13" i="18" s="1"/>
  <c r="AE66" i="16" l="1"/>
  <c r="AE48" i="16" s="1"/>
  <c r="AE53" i="16" s="1"/>
  <c r="AE50" i="16" s="1"/>
  <c r="AE56" i="16" s="1"/>
  <c r="AE65" i="16"/>
  <c r="AE64" i="16" l="1"/>
  <c r="AE12" i="18" s="1"/>
  <c r="AF24" i="16"/>
  <c r="AF25" i="16"/>
  <c r="AF32" i="16" l="1"/>
  <c r="AE55" i="16"/>
  <c r="AF33" i="16" s="1"/>
  <c r="AF22" i="16"/>
  <c r="AF15" i="18" s="1"/>
  <c r="AF44" i="16" l="1"/>
  <c r="AF27" i="16"/>
  <c r="AF42" i="16" s="1"/>
  <c r="AF41" i="16" l="1"/>
  <c r="AF9" i="18"/>
  <c r="AF14" i="18"/>
  <c r="AF13" i="18" s="1"/>
  <c r="AF66" i="16" l="1"/>
  <c r="AF48" i="16" s="1"/>
  <c r="AF53" i="16" s="1"/>
  <c r="AF50" i="16" s="1"/>
  <c r="AF56" i="16" s="1"/>
  <c r="AF65" i="16"/>
  <c r="AF64" i="16" l="1"/>
  <c r="AF12" i="18" s="1"/>
  <c r="AG24" i="16"/>
  <c r="AG25" i="16"/>
  <c r="AG32" i="16" l="1"/>
  <c r="AF55" i="16"/>
  <c r="AG33" i="16" s="1"/>
  <c r="AG22" i="16"/>
  <c r="AG15" i="18" s="1"/>
  <c r="AG44" i="16" l="1"/>
  <c r="AG27" i="16"/>
  <c r="AG42" i="16" s="1"/>
  <c r="AG41" i="16" l="1"/>
  <c r="AG14" i="18"/>
  <c r="AG13" i="18" s="1"/>
  <c r="AG9" i="18"/>
  <c r="AG66" i="16" l="1"/>
  <c r="AG48" i="16" s="1"/>
  <c r="AG53" i="16" s="1"/>
  <c r="AG50" i="16" s="1"/>
  <c r="AG56" i="16" s="1"/>
  <c r="AG65" i="16"/>
  <c r="AG64" i="16" l="1"/>
  <c r="AG12" i="18" s="1"/>
  <c r="AH24" i="16"/>
  <c r="AH25" i="16"/>
  <c r="AG55" i="16" l="1"/>
  <c r="AH33" i="16" s="1"/>
  <c r="AH32" i="16"/>
  <c r="AH22" i="16"/>
  <c r="AH15" i="18" s="1"/>
  <c r="AH44" i="16" l="1"/>
  <c r="AH27" i="16"/>
  <c r="AH42" i="16" s="1"/>
  <c r="AH41" i="16" l="1"/>
  <c r="AH9" i="18"/>
  <c r="AH14" i="18"/>
  <c r="AH13" i="18" s="1"/>
  <c r="AH66" i="16" l="1"/>
  <c r="AH48" i="16" s="1"/>
  <c r="AH53" i="16" s="1"/>
  <c r="AH50" i="16" s="1"/>
  <c r="AH56" i="16" s="1"/>
  <c r="AH65" i="16"/>
  <c r="AH64" i="16" l="1"/>
  <c r="AH12" i="18" s="1"/>
  <c r="AI24" i="16"/>
  <c r="AI25" i="16"/>
  <c r="AI32" i="16" l="1"/>
  <c r="AH55" i="16"/>
  <c r="AI33" i="16" s="1"/>
  <c r="AI22" i="16"/>
  <c r="AI15" i="18" s="1"/>
  <c r="AI44" i="16" l="1"/>
  <c r="AI27" i="16"/>
  <c r="AI42" i="16" s="1"/>
  <c r="AI41" i="16" l="1"/>
  <c r="AI9" i="18"/>
  <c r="AI14" i="18"/>
  <c r="AI13" i="18" s="1"/>
  <c r="AI66" i="16" l="1"/>
  <c r="AI48" i="16" s="1"/>
  <c r="AI53" i="16" s="1"/>
  <c r="AI50" i="16" s="1"/>
  <c r="AI56" i="16" s="1"/>
  <c r="AI65" i="16"/>
  <c r="AI64" i="16" l="1"/>
  <c r="AJ24" i="16"/>
  <c r="AJ25" i="16"/>
  <c r="AI12" i="18" l="1"/>
  <c r="AJ32" i="16"/>
  <c r="AI55" i="16"/>
  <c r="AJ33" i="16" s="1"/>
  <c r="AJ22" i="16"/>
  <c r="B49" i="18" s="1"/>
  <c r="B50" i="18" l="1"/>
  <c r="F49" i="18" s="1"/>
  <c r="E49" i="18"/>
  <c r="AJ15" i="18"/>
  <c r="F34" i="18" s="1"/>
  <c r="B39" i="18" s="1"/>
  <c r="AJ44" i="16"/>
  <c r="AJ27" i="16"/>
  <c r="AJ42" i="16" s="1"/>
  <c r="B40" i="18" l="1"/>
  <c r="AJ41" i="16"/>
  <c r="AJ14" i="18"/>
  <c r="AJ13" i="18" s="1"/>
  <c r="AJ9" i="18"/>
  <c r="E34" i="18" s="1"/>
  <c r="AJ66" i="16" l="1"/>
  <c r="AJ65" i="16"/>
  <c r="AJ48" i="16" l="1"/>
  <c r="AJ64" i="16"/>
  <c r="AJ12" i="18" s="1"/>
  <c r="D34" i="18" s="1"/>
  <c r="AJ53" i="16" l="1"/>
  <c r="AJ50" i="16" s="1"/>
  <c r="AJ56" i="16" s="1"/>
  <c r="AJ55" i="16" s="1"/>
  <c r="B45" i="18" s="1"/>
  <c r="F44" i="18" s="1"/>
  <c r="F46" i="18" s="1"/>
  <c r="Z46" i="13"/>
  <c r="B38" i="18"/>
  <c r="B37" i="18"/>
  <c r="E37" i="13"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<sst xmlns="http://schemas.openxmlformats.org/spreadsheetml/2006/main" count="561" uniqueCount="402">
  <si>
    <t>Electricity</t>
  </si>
  <si>
    <t>Gas</t>
  </si>
  <si>
    <t>Groceries</t>
  </si>
  <si>
    <t>Transportation</t>
  </si>
  <si>
    <t>Mortgage</t>
  </si>
  <si>
    <t>Water</t>
  </si>
  <si>
    <t>Lawn service</t>
  </si>
  <si>
    <t>Restaurants</t>
  </si>
  <si>
    <t>Subscriptions</t>
  </si>
  <si>
    <t>Total Expenses</t>
  </si>
  <si>
    <t>Insurance Premiums</t>
  </si>
  <si>
    <t>Flight</t>
  </si>
  <si>
    <t>Hotel</t>
  </si>
  <si>
    <t>Ubers</t>
  </si>
  <si>
    <t>Meals</t>
  </si>
  <si>
    <t>Registration &amp; inspections</t>
  </si>
  <si>
    <t>Regular maintenance</t>
  </si>
  <si>
    <t>Repairs</t>
  </si>
  <si>
    <t>Tires</t>
  </si>
  <si>
    <t>Cleaning supplies</t>
  </si>
  <si>
    <t>Internet</t>
  </si>
  <si>
    <t>Year</t>
  </si>
  <si>
    <t>Ages</t>
  </si>
  <si>
    <t>Social Security</t>
  </si>
  <si>
    <t>Total Savings</t>
  </si>
  <si>
    <t>Savings</t>
  </si>
  <si>
    <t>Legacy goal</t>
  </si>
  <si>
    <t>Legacy Goal</t>
  </si>
  <si>
    <t>Deduction</t>
  </si>
  <si>
    <t>One-time spending</t>
  </si>
  <si>
    <t>One-time Purchases</t>
  </si>
  <si>
    <t>Price inflation</t>
  </si>
  <si>
    <t>CPI-U</t>
  </si>
  <si>
    <t>Investment return</t>
  </si>
  <si>
    <t>Utilization decrease</t>
  </si>
  <si>
    <t>Fixed income annuity</t>
  </si>
  <si>
    <t>Deductible</t>
  </si>
  <si>
    <t>Premium</t>
  </si>
  <si>
    <t>OOP Limit</t>
  </si>
  <si>
    <t>Food &amp; Drink</t>
  </si>
  <si>
    <t>Fast food</t>
  </si>
  <si>
    <t>Monthly</t>
  </si>
  <si>
    <t>Projections</t>
  </si>
  <si>
    <t>Tax brackets</t>
  </si>
  <si>
    <t>Health savings account</t>
  </si>
  <si>
    <t>Total income</t>
  </si>
  <si>
    <t>Total savings</t>
  </si>
  <si>
    <t>Health Care</t>
  </si>
  <si>
    <t>Assumptions</t>
  </si>
  <si>
    <t>Medical inflation</t>
  </si>
  <si>
    <t>Investment returns</t>
  </si>
  <si>
    <t>Equities</t>
  </si>
  <si>
    <t>Bonds</t>
  </si>
  <si>
    <t>Cash</t>
  </si>
  <si>
    <t>Discretionary spending</t>
  </si>
  <si>
    <t>Allocated savings withdrawal</t>
  </si>
  <si>
    <t>From taxable savings</t>
  </si>
  <si>
    <t>From tax-free savings</t>
  </si>
  <si>
    <t>Scenario</t>
  </si>
  <si>
    <t>Brokerage</t>
  </si>
  <si>
    <t>Tax-deferred</t>
  </si>
  <si>
    <t>HSA</t>
  </si>
  <si>
    <t>Taxable</t>
  </si>
  <si>
    <t>Total HSA</t>
  </si>
  <si>
    <t>Total tax-deferred</t>
  </si>
  <si>
    <t>Total taxable</t>
  </si>
  <si>
    <t>Total basis</t>
  </si>
  <si>
    <t>Total tax-free</t>
  </si>
  <si>
    <t>Tax-free</t>
  </si>
  <si>
    <t>Taxable savings</t>
  </si>
  <si>
    <t>Tax-free savings</t>
  </si>
  <si>
    <t>Economic assumptions</t>
  </si>
  <si>
    <t>Include in Transportation</t>
  </si>
  <si>
    <t>Housing</t>
  </si>
  <si>
    <t>Include in Housing</t>
  </si>
  <si>
    <t>Pensions</t>
  </si>
  <si>
    <t>Annuities</t>
  </si>
  <si>
    <t>Charts</t>
  </si>
  <si>
    <t>Mortality</t>
  </si>
  <si>
    <t>Unisex</t>
  </si>
  <si>
    <t>Male</t>
  </si>
  <si>
    <t>Female</t>
  </si>
  <si>
    <t>Baseline</t>
  </si>
  <si>
    <t>Bottom</t>
  </si>
  <si>
    <t>Top</t>
  </si>
  <si>
    <t>Realistic</t>
  </si>
  <si>
    <t>Investment return scenarios</t>
  </si>
  <si>
    <t>Optimistic</t>
  </si>
  <si>
    <t>Pessimistic</t>
  </si>
  <si>
    <t>Investment return options</t>
  </si>
  <si>
    <t>Spending in retirement</t>
  </si>
  <si>
    <t>Longevity</t>
  </si>
  <si>
    <t>Joint</t>
  </si>
  <si>
    <t>…</t>
  </si>
  <si>
    <t>Demographics</t>
  </si>
  <si>
    <t>Retirement age</t>
  </si>
  <si>
    <t>Pension(s)</t>
  </si>
  <si>
    <t>Medical post-Medicare</t>
  </si>
  <si>
    <t>Taxable options</t>
  </si>
  <si>
    <t>Part A</t>
  </si>
  <si>
    <t>Part B</t>
  </si>
  <si>
    <t>Part C (Medicare Advantage)</t>
  </si>
  <si>
    <t>Part D</t>
  </si>
  <si>
    <t>Savings (from Projections)</t>
  </si>
  <si>
    <t>Legacy goal options</t>
  </si>
  <si>
    <t>Increase with investment return</t>
  </si>
  <si>
    <t>Increase with inflation</t>
  </si>
  <si>
    <t>Tables</t>
  </si>
  <si>
    <t>Withdrawal strategy</t>
  </si>
  <si>
    <t>According to needs</t>
  </si>
  <si>
    <t>Withdrawal strategies</t>
  </si>
  <si>
    <t>Spend safely in retirement (SSiR)</t>
  </si>
  <si>
    <t>Total Income</t>
  </si>
  <si>
    <t>Windfall benefits</t>
  </si>
  <si>
    <t>Mutual fund(s)</t>
  </si>
  <si>
    <t>Your estimated benefit</t>
  </si>
  <si>
    <t>Your spouse's estimated benefit</t>
  </si>
  <si>
    <t>Company 401(k)</t>
  </si>
  <si>
    <t>Brokerage account(s)</t>
  </si>
  <si>
    <t>Account</t>
  </si>
  <si>
    <t>Regular IRA(s)</t>
  </si>
  <si>
    <t>Roth IRA(s)</t>
  </si>
  <si>
    <t>These worksheets help roll up to expense categories using details and sub-categories</t>
  </si>
  <si>
    <t>Jason</t>
  </si>
  <si>
    <t>Charlene</t>
  </si>
  <si>
    <t>Enter your expected retirement age; if married, you're both assumed to retire at the same time</t>
  </si>
  <si>
    <t>M</t>
  </si>
  <si>
    <t>F</t>
  </si>
  <si>
    <t>Income tax brackets</t>
  </si>
  <si>
    <t>State income tax approximation</t>
  </si>
  <si>
    <t>Property tax rate</t>
  </si>
  <si>
    <t>Debt Payments</t>
  </si>
  <si>
    <t>Discretionary Spending</t>
  </si>
  <si>
    <t>Nondiscretionary Expenses</t>
  </si>
  <si>
    <t>Discretionary spending will increase annually according to inflation; nondiscretionary expenses will be calculated explicitly.</t>
  </si>
  <si>
    <t>Home value</t>
  </si>
  <si>
    <t>Debt payments</t>
  </si>
  <si>
    <t>Property taxes</t>
  </si>
  <si>
    <t>One-time adjustments</t>
  </si>
  <si>
    <t>Expenses</t>
  </si>
  <si>
    <t>Windfalls</t>
  </si>
  <si>
    <t>Windfall(s)</t>
  </si>
  <si>
    <t>Health care not paid by HSA</t>
  </si>
  <si>
    <t>Spending less income</t>
  </si>
  <si>
    <t>Health care expenses</t>
  </si>
  <si>
    <t>per covered individual</t>
  </si>
  <si>
    <t>Auto loan(s)</t>
  </si>
  <si>
    <t>Credit card(s)</t>
  </si>
  <si>
    <t>Balance</t>
  </si>
  <si>
    <t>Interest rate</t>
  </si>
  <si>
    <t>Payment</t>
  </si>
  <si>
    <t>Debt balances</t>
  </si>
  <si>
    <t>RMD Uniform Lifetime</t>
  </si>
  <si>
    <t>High utilization</t>
  </si>
  <si>
    <t>Medical pre-Medicare</t>
  </si>
  <si>
    <t>Medical plan utilization</t>
  </si>
  <si>
    <t>Very high utilization</t>
  </si>
  <si>
    <t>Low utilization</t>
  </si>
  <si>
    <t>Plans G and N provide closest to full coverage</t>
  </si>
  <si>
    <t>Medicare supplement</t>
  </si>
  <si>
    <t>Medicare Advantage should cover Parts B, maybe Part D and supplement</t>
  </si>
  <si>
    <t>Premiums post-Medicare</t>
  </si>
  <si>
    <t>Premiums pre-Medicare</t>
  </si>
  <si>
    <t>Out-of-pocket expenses</t>
  </si>
  <si>
    <t>HSA eligible withdrawal</t>
  </si>
  <si>
    <t>Other accounts (not included in retirement income)</t>
  </si>
  <si>
    <t>QLAC</t>
  </si>
  <si>
    <t>Longevity probability</t>
  </si>
  <si>
    <t>Savings withdrawal</t>
  </si>
  <si>
    <t>Spending goal</t>
  </si>
  <si>
    <t>RMD Life Expectancy</t>
  </si>
  <si>
    <t>SSiR (spend safely in retirement)</t>
  </si>
  <si>
    <t>Alcohol</t>
  </si>
  <si>
    <t>Other</t>
  </si>
  <si>
    <t>Utilities</t>
  </si>
  <si>
    <t>Clothing</t>
  </si>
  <si>
    <t>CDs</t>
  </si>
  <si>
    <t>Savings or checking account(s)</t>
  </si>
  <si>
    <t>Week 1</t>
  </si>
  <si>
    <t>Oil changes</t>
  </si>
  <si>
    <t>Accidents</t>
  </si>
  <si>
    <t>Car wash(es)</t>
  </si>
  <si>
    <t>from Insurance</t>
  </si>
  <si>
    <t>Auto insurance</t>
  </si>
  <si>
    <t>Home insurance</t>
  </si>
  <si>
    <t>Property (valuables) insurance</t>
  </si>
  <si>
    <t>Vision insurance</t>
  </si>
  <si>
    <t>Dental insurance</t>
  </si>
  <si>
    <t>Life insurance</t>
  </si>
  <si>
    <t>Long-term care insurance</t>
  </si>
  <si>
    <t>from Debt Payments</t>
  </si>
  <si>
    <t>Maintenance / repairs</t>
  </si>
  <si>
    <t>Pest control</t>
  </si>
  <si>
    <t>HVAC service</t>
  </si>
  <si>
    <t>for property tax calculations</t>
  </si>
  <si>
    <t>Cable or satellite TV</t>
  </si>
  <si>
    <t>Include in Debt Payments</t>
  </si>
  <si>
    <t>Auto loan payment</t>
  </si>
  <si>
    <t>Bus / train /subway pass(es)</t>
  </si>
  <si>
    <t>see details</t>
  </si>
  <si>
    <t>Inheritence</t>
  </si>
  <si>
    <t>No increases</t>
  </si>
  <si>
    <t>Weekend trips</t>
  </si>
  <si>
    <t>International</t>
  </si>
  <si>
    <t>Domestic</t>
  </si>
  <si>
    <t>These amounts represent costs incurred</t>
  </si>
  <si>
    <t>Annually</t>
  </si>
  <si>
    <t>Travel</t>
  </si>
  <si>
    <t>Entertainment</t>
  </si>
  <si>
    <t>Disability insurance</t>
  </si>
  <si>
    <t>AD&amp;D</t>
  </si>
  <si>
    <t>Personal Care</t>
  </si>
  <si>
    <t>Gifts &amp; Donations</t>
  </si>
  <si>
    <t>Relatives</t>
  </si>
  <si>
    <t>Charities</t>
  </si>
  <si>
    <t>myRetirementBudget.net</t>
  </si>
  <si>
    <t>home remodel</t>
  </si>
  <si>
    <t>new car!</t>
  </si>
  <si>
    <t>State income tax</t>
  </si>
  <si>
    <t>Federal income tax</t>
  </si>
  <si>
    <t>Property tax</t>
  </si>
  <si>
    <t>returns for</t>
  </si>
  <si>
    <t>years</t>
  </si>
  <si>
    <t>return in year</t>
  </si>
  <si>
    <t>of retirement</t>
  </si>
  <si>
    <t>RMD</t>
  </si>
  <si>
    <t>of deductible</t>
  </si>
  <si>
    <t>of OOP limit</t>
  </si>
  <si>
    <t>Scenarios</t>
  </si>
  <si>
    <t>these returns are generated in another tool</t>
  </si>
  <si>
    <t>increases for</t>
  </si>
  <si>
    <t>Spending options</t>
  </si>
  <si>
    <t>Lower spending late in life</t>
  </si>
  <si>
    <t>Input worksheets</t>
  </si>
  <si>
    <t>Calculation worksheets</t>
  </si>
  <si>
    <t>Results!</t>
  </si>
  <si>
    <t>Spending detail worksheets</t>
  </si>
  <si>
    <t xml:space="preserve">begin year for </t>
  </si>
  <si>
    <t>Price inflation options</t>
  </si>
  <si>
    <t>Medical inflation options</t>
  </si>
  <si>
    <t>above price inflation</t>
  </si>
  <si>
    <t>Historical price inflation</t>
  </si>
  <si>
    <t>Equity</t>
  </si>
  <si>
    <t>Medical</t>
  </si>
  <si>
    <t>Historical economic data (from NYU Stern)</t>
  </si>
  <si>
    <t>Composite</t>
  </si>
  <si>
    <t>Steady spending</t>
  </si>
  <si>
    <t>Historical returns</t>
  </si>
  <si>
    <t>Week 2</t>
  </si>
  <si>
    <t>Week 3</t>
  </si>
  <si>
    <t>Week 4</t>
  </si>
  <si>
    <t>Hobbies</t>
  </si>
  <si>
    <t>Pets</t>
  </si>
  <si>
    <t>Enter your name, gender and current age</t>
  </si>
  <si>
    <t>assessed annually on home value</t>
  </si>
  <si>
    <t>Asset allocation</t>
  </si>
  <si>
    <t>Baseline returns</t>
  </si>
  <si>
    <t>CPI-U options</t>
  </si>
  <si>
    <t>Steady CPI-U</t>
  </si>
  <si>
    <t>decrease after year</t>
  </si>
  <si>
    <t>Steady price inflation</t>
  </si>
  <si>
    <t>Rising price inflation</t>
  </si>
  <si>
    <t>Steady medical inflation</t>
  </si>
  <si>
    <t>Slightly higher than price inflation</t>
  </si>
  <si>
    <t>Slightly lower than price inflation</t>
  </si>
  <si>
    <t>lower each year</t>
  </si>
  <si>
    <t>Tax-free vs taxable hierarchy</t>
  </si>
  <si>
    <t>Tax-free vs taxable options</t>
  </si>
  <si>
    <t>Draw down tax-free and taxable savings evenly</t>
  </si>
  <si>
    <t>Draw down tax-free savings first</t>
  </si>
  <si>
    <t>Draw down taxable savings first</t>
  </si>
  <si>
    <t>Used to reconstruct returns from historical data</t>
  </si>
  <si>
    <t>Total spending goal</t>
  </si>
  <si>
    <t>Withdrawal strateg(ies)</t>
  </si>
  <si>
    <t>Social Security at NRA</t>
  </si>
  <si>
    <t>increased for delayed start</t>
  </si>
  <si>
    <t>reduced for early start</t>
  </si>
  <si>
    <t>Disclaimers &amp; Limitations</t>
  </si>
  <si>
    <t>Not advice</t>
  </si>
  <si>
    <t>No partial year calculations</t>
  </si>
  <si>
    <t>No capital gains taxation</t>
  </si>
  <si>
    <t>This workbook is to facilitate your own budgeting and retirement forecast. It does not constitute not substitute for finanical or investment advice.</t>
  </si>
  <si>
    <t>All years and ages are treated as full years. This should only affect the first year of retirement or any first year of  receipt.</t>
  </si>
  <si>
    <t>Retirement Income vs Spending and Savings</t>
  </si>
  <si>
    <t>Set your demographic and economic assumptions, plus other parameters</t>
  </si>
  <si>
    <t>Inventory of retirement accounts and financial assets</t>
  </si>
  <si>
    <t>Inventory of pensions, Social Security, annuities and other retirement income</t>
  </si>
  <si>
    <t>A single graphic that summarizes retirement income, spending, savings and longevity expectations</t>
  </si>
  <si>
    <t>These are the back-end year-by-year calculations; hidden</t>
  </si>
  <si>
    <t>Brief summary of key results to feed the retirement income chart; hidden</t>
  </si>
  <si>
    <t>Key parameters for taxation, longevitiy and various scenarios; hidden</t>
  </si>
  <si>
    <t>You may rename categories at topmost of each worksheet</t>
  </si>
  <si>
    <r>
      <t xml:space="preserve">enter </t>
    </r>
    <r>
      <rPr>
        <i/>
        <u/>
        <sz val="9"/>
        <color theme="1" tint="0.34998626667073579"/>
        <rFont val="Calibri"/>
        <family val="2"/>
        <scheme val="minor"/>
      </rPr>
      <t>end</t>
    </r>
    <r>
      <rPr>
        <i/>
        <sz val="9"/>
        <color theme="1" tint="0.34998626667073579"/>
        <rFont val="Calibri"/>
        <family val="2"/>
        <scheme val="minor"/>
      </rPr>
      <t xml:space="preserve"> ages for temporary income</t>
    </r>
  </si>
  <si>
    <t>For simplicity, all taxes are treated as income tax. It is beyond the scope of this workbook to account for investment lot history.</t>
  </si>
  <si>
    <t>Temporary income</t>
  </si>
  <si>
    <t>Income / Annuities</t>
  </si>
  <si>
    <t>Social Security taxable</t>
  </si>
  <si>
    <t>Social Security retirement benefits are assumted to be 85% taxable; this is the maximum and applies to the majority of retirees.</t>
  </si>
  <si>
    <t xml:space="preserve">What if I had another </t>
  </si>
  <si>
    <t>in savings?</t>
  </si>
  <si>
    <t>What if I deferred Social Security to age</t>
  </si>
  <si>
    <t>for a single premium of</t>
  </si>
  <si>
    <t>of retirement?</t>
  </si>
  <si>
    <t>?</t>
  </si>
  <si>
    <t>Observation</t>
  </si>
  <si>
    <t>Year statement</t>
  </si>
  <si>
    <t>Income statement</t>
  </si>
  <si>
    <t>Spending statement</t>
  </si>
  <si>
    <t>Withdrawal statement</t>
  </si>
  <si>
    <t>Savings statement</t>
  </si>
  <si>
    <t>Legacy statement</t>
  </si>
  <si>
    <t>Income</t>
  </si>
  <si>
    <t>Total income (not charted)</t>
  </si>
  <si>
    <t>Longevity statement</t>
  </si>
  <si>
    <t>Withdrawal</t>
  </si>
  <si>
    <t>Spending</t>
  </si>
  <si>
    <t>Legacy</t>
  </si>
  <si>
    <t>Married?</t>
  </si>
  <si>
    <t>Age</t>
  </si>
  <si>
    <t>Legacy goal (from Projections)</t>
  </si>
  <si>
    <t>What if I reduced my monthly spending by</t>
  </si>
  <si>
    <t>until age</t>
  </si>
  <si>
    <t>What if I purchased a monthly annuity of</t>
  </si>
  <si>
    <t>in year</t>
  </si>
  <si>
    <t>at age</t>
  </si>
  <si>
    <t xml:space="preserve">What if I executed a Roth conversion of </t>
  </si>
  <si>
    <t>What-if scenarios</t>
  </si>
  <si>
    <t>Increase savings</t>
  </si>
  <si>
    <t>Increase income</t>
  </si>
  <si>
    <t>Decrease spending</t>
  </si>
  <si>
    <t>Buy an annuity</t>
  </si>
  <si>
    <t>Roth conversion</t>
  </si>
  <si>
    <t>What if I had monthly income of</t>
  </si>
  <si>
    <t>Amount</t>
  </si>
  <si>
    <t>Social Security adjustments</t>
  </si>
  <si>
    <t>enter Social Security benefits at NRA here</t>
  </si>
  <si>
    <t>calculated; see below</t>
  </si>
  <si>
    <t>Personal grooming</t>
  </si>
  <si>
    <t>Exercise and fitness</t>
  </si>
  <si>
    <t>enter custom categories here</t>
  </si>
  <si>
    <t>Cleaning service</t>
  </si>
  <si>
    <t>Home association fees</t>
  </si>
  <si>
    <t>Stock purchase plan</t>
  </si>
  <si>
    <t>Company pension</t>
  </si>
  <si>
    <t>Nonqualified pension</t>
  </si>
  <si>
    <t>SERP</t>
  </si>
  <si>
    <t>Married or single (M or S)</t>
  </si>
  <si>
    <t>Spouse information, if applicable</t>
  </si>
  <si>
    <r>
      <t xml:space="preserve">use </t>
    </r>
    <r>
      <rPr>
        <i/>
        <sz val="9"/>
        <color theme="1"/>
        <rFont val="Calibri"/>
        <family val="2"/>
        <scheme val="minor"/>
      </rPr>
      <t>ssa.gov</t>
    </r>
    <r>
      <rPr>
        <i/>
        <sz val="9"/>
        <color theme="1" tint="0.34998626667073579"/>
        <rFont val="Calibri"/>
        <family val="2"/>
        <scheme val="minor"/>
      </rPr>
      <t xml:space="preserve"> for accurate benefit estimates, enter them here →</t>
    </r>
  </si>
  <si>
    <r>
      <t xml:space="preserve">NOTE: it is highly recommended to create an account at </t>
    </r>
    <r>
      <rPr>
        <i/>
        <u/>
        <sz val="9"/>
        <color theme="1" tint="0.34998626667073579"/>
        <rFont val="Calibri"/>
        <family val="2"/>
        <scheme val="minor"/>
      </rPr>
      <t>ssa.gov</t>
    </r>
    <r>
      <rPr>
        <i/>
        <sz val="9"/>
        <color theme="1" tint="0.34998626667073579"/>
        <rFont val="Calibri"/>
        <family val="2"/>
        <scheme val="minor"/>
      </rPr>
      <t xml:space="preserve"> to secure accurate benefit estimates from the Social Security Administration.</t>
    </r>
  </si>
  <si>
    <t>all entries are per covered individual</t>
  </si>
  <si>
    <t>Your legacy goal is how much (of  your savings) you hope to leave to your heirs. It is only a target and won't limit your spending in retirement.</t>
  </si>
  <si>
    <t>Various</t>
  </si>
  <si>
    <t>Wine</t>
  </si>
  <si>
    <t>Pre-concert</t>
  </si>
  <si>
    <t>Online services</t>
  </si>
  <si>
    <t>Movies</t>
  </si>
  <si>
    <t>Comedy</t>
  </si>
  <si>
    <t>Nephew</t>
  </si>
  <si>
    <t>more car!</t>
  </si>
  <si>
    <t>Delay Social Security (initial)</t>
  </si>
  <si>
    <t>Delay Social Security (projected)</t>
  </si>
  <si>
    <t>right after retirement?</t>
  </si>
  <si>
    <t>What if investment returns were …</t>
  </si>
  <si>
    <t>a one-time market crash</t>
  </si>
  <si>
    <t>a bear market recession</t>
  </si>
  <si>
    <t>steady as long-term rates</t>
  </si>
  <si>
    <r>
      <t xml:space="preserve">Budget of spending in retirement; </t>
    </r>
    <r>
      <rPr>
        <b/>
        <i/>
        <sz val="9"/>
        <color theme="1" tint="0.34998626667073579"/>
        <rFont val="Calibri"/>
        <family val="2"/>
        <scheme val="minor"/>
      </rPr>
      <t>most of your time will be spent here!</t>
    </r>
  </si>
  <si>
    <t>Taxes in year of conversion</t>
  </si>
  <si>
    <t>Total taxes future years</t>
  </si>
  <si>
    <t>Tax now</t>
  </si>
  <si>
    <t>Tax later</t>
  </si>
  <si>
    <t>← Data table maintains $0 Roth conversion values</t>
  </si>
  <si>
    <t>Savings balance in final year</t>
  </si>
  <si>
    <t>Success = savings &gt; $0</t>
  </si>
  <si>
    <t>← Data table tests success against historical returns</t>
  </si>
  <si>
    <t>simulated historical returns over similar periods</t>
  </si>
  <si>
    <t>Steady returns by default</t>
  </si>
  <si>
    <t>Bear market returns</t>
  </si>
  <si>
    <t>One-time market crash</t>
  </si>
  <si>
    <t>included in Transportation</t>
  </si>
  <si>
    <t>included in Housing</t>
  </si>
  <si>
    <t>These amounts represent costs incurred Monthly</t>
  </si>
  <si>
    <t>single</t>
  </si>
  <si>
    <t>married</t>
  </si>
  <si>
    <t>Systematic withdrawals (%)</t>
  </si>
  <si>
    <t>Systematic withdrawals ($)</t>
  </si>
  <si>
    <t>Systematic withdrawals ($ amount)</t>
  </si>
  <si>
    <t>increase with inflation?</t>
  </si>
  <si>
    <t>N</t>
  </si>
  <si>
    <t>Rate</t>
  </si>
  <si>
    <r>
      <rPr>
        <b/>
        <i/>
        <sz val="9"/>
        <color theme="1"/>
        <rFont val="Calibri"/>
        <family val="2"/>
        <scheme val="minor"/>
      </rPr>
      <t>Withdrawal strategy dictates how you'll drawn down from your retirement savings each year:</t>
    </r>
    <r>
      <rPr>
        <i/>
        <sz val="9"/>
        <color theme="1" tint="0.24994659260841701"/>
        <rFont val="Calibri"/>
        <family val="2"/>
        <scheme val="minor"/>
      </rPr>
      <t xml:space="preserve">
According to needs means you'll withdraw enough to pay your expected expenses, as they incur (and risk running out of money).
SSiR means you'll "pay yourself" according to the IRS RMD schedule of expected longevity. You'll withdraw a smaller % of saving at young ages to guarantee never running out. This method is advocated by the Society of Actuaries.
Systematic (or "safe") withdrawals set a % of savings amount to withdraw the first year of retirement. This amount will increase with inflation each year.
Alternatively, you may set a specific $ amount and choose whether to increase each year. These "installment" payments are usually facilitated by your savings plan administrator.</t>
    </r>
  </si>
  <si>
    <t>senior</t>
  </si>
  <si>
    <t>senior +</t>
  </si>
  <si>
    <t>Tax Deduction</t>
  </si>
  <si>
    <t>Standard</t>
  </si>
  <si>
    <t>Senior</t>
  </si>
  <si>
    <t>Senior +</t>
  </si>
  <si>
    <t>begin</t>
  </si>
  <si>
    <t>end</t>
  </si>
  <si>
    <t>MAGI = income+withdrawal+Roth</t>
  </si>
  <si>
    <t>phase-out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</si>
</sst>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2" formatCode="_(&quot;$&quot;* #,##0_);_(&quot;$&quot;* \(#,##0\);_(&quot;$&quot;* &quot;-&quot;_);_(@_)"/>
    <numFmt numFmtId="44" formatCode="_(&quot;$&quot;* #,##0.00_);_(&quot;$&quot;* \(#,##0.00\);_(&quot;$&quot;* &quot;-&quot;??_);_(@_)"/>
    <numFmt numFmtId="164" formatCode="[&lt;=9999999]###\-####;\(###\)\ ###\-####"/>
    <numFmt numFmtId="165" formatCode="0_);\(0\)"/>
    <numFmt numFmtId="166" formatCode="0.000000"/>
    <numFmt numFmtId="167" formatCode="#,##0.000000_);\(#,##0.000000\)"/>
    <numFmt numFmtId="168" formatCode="0.0"/>
    <numFmt numFmtId="169" formatCode="0.0%"/>
    <numFmt numFmtId="170" formatCode="_(&quot;$&quot;* #,##0_);_(&quot;$&quot;* \(#,##0\);_(&quot;$&quot;* &quot;-&quot;??_);_(@_)"/>
  </numFmts>
  <fonts count="41" x14ac:knownFonts="1">
    <font>
      <sz val="10"/>
      <color theme="1" tint="0.24994659260841701"/>
      <name val="Calibri"/>
      <family val="2"/>
      <scheme val="minor"/>
    </font>
    <font>
      <sz val="10"/>
      <color theme="1" tint="0.24994659260841701"/>
      <name val="Calibri"/>
      <family val="2"/>
      <scheme val="major"/>
    </font>
    <font>
      <b/>
      <sz val="10"/>
      <color theme="1" tint="0.24994659260841701"/>
      <name val="Calibri"/>
      <family val="2"/>
      <scheme val="major"/>
    </font>
    <font>
      <sz val="22"/>
      <color theme="3" tint="0.24994659260841701"/>
      <name val="Calibri"/>
      <family val="2"/>
      <scheme val="major"/>
    </font>
    <font>
      <sz val="11"/>
      <color theme="4" tint="-0.499984740745262"/>
      <name val="Calibri"/>
      <family val="2"/>
      <scheme val="minor"/>
    </font>
    <font>
      <sz val="12"/>
      <color theme="1" tint="0.34998626667073579"/>
      <name val="Calibri"/>
      <family val="2"/>
      <scheme val="minor"/>
    </font>
    <font>
      <b/>
      <sz val="20"/>
      <color theme="4"/>
      <name val="Calibri"/>
      <family val="2"/>
      <scheme val="major"/>
    </font>
    <font>
      <sz val="16"/>
      <color theme="8"/>
      <name val="Calibri"/>
      <family val="2"/>
      <scheme val="major"/>
    </font>
    <font>
      <sz val="12"/>
      <color rgb="FFFF0000"/>
      <name val="Calibri"/>
      <family val="2"/>
      <scheme val="minor"/>
    </font>
    <font>
      <b/>
      <sz val="12"/>
      <color theme="1" tint="0.34998626667073579"/>
      <name val="Calibri"/>
      <family val="2"/>
      <scheme val="minor"/>
    </font>
    <font>
      <i/>
      <sz val="12"/>
      <color theme="1" tint="0.34998626667073579"/>
      <name val="Calibri"/>
      <family val="2"/>
      <scheme val="minor"/>
    </font>
    <font>
      <sz val="10"/>
      <color theme="1" tint="0.24994659260841701"/>
      <name val="Calibri"/>
      <family val="2"/>
      <scheme val="minor"/>
    </font>
    <font>
      <i/>
      <sz val="12"/>
      <color theme="4" tint="0.39997558519241921"/>
      <name val="Calibri"/>
      <family val="2"/>
      <scheme val="minor"/>
    </font>
    <font>
      <b/>
      <sz val="16"/>
      <color theme="1"/>
      <name val="Calibri"/>
      <family val="2"/>
      <scheme val="major"/>
    </font>
    <font>
      <b/>
      <sz val="16"/>
      <name val="Calibri"/>
      <family val="2"/>
      <scheme val="major"/>
    </font>
    <font>
      <sz val="12"/>
      <color theme="1"/>
      <name val="Calibri"/>
      <family val="2"/>
      <scheme val="major"/>
    </font>
    <font>
      <sz val="12"/>
      <color theme="1" tint="0.24994659260841701"/>
      <name val="Calibri"/>
      <family val="2"/>
      <scheme val="minor"/>
    </font>
    <font>
      <sz val="8"/>
      <color theme="1" tint="0.34998626667073579"/>
      <name val="Calibri"/>
      <family val="2"/>
      <scheme val="minor"/>
    </font>
    <font>
      <sz val="12"/>
      <color theme="1"/>
      <name val="Calibri"/>
      <family val="2"/>
      <scheme val="minor"/>
    </font>
    <font>
      <i/>
      <sz val="9"/>
      <color theme="1" tint="0.34998626667073579"/>
      <name val="Calibri"/>
      <family val="2"/>
      <scheme val="minor"/>
    </font>
    <font>
      <i/>
      <sz val="9"/>
      <color theme="1" tint="0.24994659260841701"/>
      <name val="Calibri"/>
      <family val="2"/>
      <scheme val="minor"/>
    </font>
    <font>
      <sz val="12"/>
      <name val="Calibri"/>
      <family val="2"/>
      <scheme val="major"/>
    </font>
    <font>
      <sz val="9"/>
      <color theme="1" tint="0.34998626667073579"/>
      <name val="Calibri"/>
      <family val="2"/>
      <scheme val="minor"/>
    </font>
    <font>
      <sz val="12"/>
      <color theme="4"/>
      <name val="Calibri"/>
      <family val="2"/>
      <scheme val="minor"/>
    </font>
    <font>
      <sz val="8"/>
      <color theme="4"/>
      <name val="Calibri"/>
      <family val="2"/>
      <scheme val="minor"/>
    </font>
    <font>
      <sz val="9"/>
      <color theme="4"/>
      <name val="Calibri"/>
      <family val="2"/>
      <scheme val="minor"/>
    </font>
    <font>
      <sz val="9"/>
      <color theme="1"/>
      <name val="Calibri"/>
      <family val="2"/>
      <scheme val="minor"/>
    </font>
    <font>
      <sz val="9"/>
      <color theme="1" tint="0.24994659260841701"/>
      <name val="Calibri"/>
      <family val="2"/>
      <scheme val="minor"/>
    </font>
    <font>
      <sz val="12"/>
      <color theme="4"/>
      <name val="Calibri"/>
      <family val="2"/>
      <scheme val="major"/>
    </font>
    <font>
      <sz val="36"/>
      <name val="Oswald Regular"/>
    </font>
    <font>
      <u/>
      <sz val="10"/>
      <color theme="10"/>
      <name val="Calibri"/>
      <family val="2"/>
      <scheme val="minor"/>
    </font>
    <font>
      <sz val="22"/>
      <name val="Oswald Regular"/>
    </font>
    <font>
      <sz val="22"/>
      <color theme="1" tint="0.24994659260841701"/>
      <name val="Oswald Regular"/>
    </font>
    <font>
      <i/>
      <u/>
      <sz val="9"/>
      <color theme="1" tint="0.34998626667073579"/>
      <name val="Calibri"/>
      <family val="2"/>
      <scheme val="minor"/>
    </font>
    <font>
      <i/>
      <sz val="9"/>
      <color theme="0" tint="-4.9989318521683403E-2"/>
      <name val="Calibri"/>
      <family val="2"/>
      <scheme val="minor"/>
    </font>
    <font>
      <i/>
      <sz val="9"/>
      <color rgb="FFFF0000"/>
      <name val="Calibri"/>
      <family val="2"/>
      <scheme val="minor"/>
    </font>
    <font>
      <i/>
      <sz val="9"/>
      <color theme="1"/>
      <name val="Calibri"/>
      <family val="2"/>
      <scheme val="minor"/>
    </font>
    <font>
      <b/>
      <i/>
      <sz val="9"/>
      <color theme="1"/>
      <name val="Calibri"/>
      <family val="2"/>
      <scheme val="minor"/>
    </font>
    <font>
      <i/>
      <sz val="9"/>
      <color theme="4"/>
      <name val="Calibri"/>
      <family val="2"/>
      <scheme val="minor"/>
    </font>
    <font>
      <b/>
      <i/>
      <sz val="9"/>
      <color theme="1" tint="0.34998626667073579"/>
      <name val="Calibri"/>
      <family val="2"/>
      <scheme val="minor"/>
    </font>
    <font>
      <i/>
      <sz val="10"/>
      <color theme="1" tint="0.2499465926084170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lightUp"/>
    </fill>
  </fills>
  <borders count="78">
    <border>
      <left/>
      <right/>
      <top/>
      <bottom/>
      <diagonal/>
    </border>
    <border>
      <left/>
      <right/>
      <top/>
      <bottom style="medium">
        <color theme="4" tint="-0.24994659260841701"/>
      </bottom>
      <diagonal/>
    </border>
    <border>
      <left/>
      <right/>
      <top/>
      <bottom style="thick">
        <color theme="4" tint="0.499984740745262"/>
      </bottom>
      <diagonal/>
    </border>
    <border>
      <left/>
      <right/>
      <top/>
      <bottom style="medium">
        <color theme="4" tint="0.399975585192419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right/>
      <top/>
      <bottom style="thin">
        <color theme="4" tint="-0.24994659260841701"/>
      </bottom>
      <diagonal/>
    </border>
    <border>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right/>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right style="thin">
        <color theme="0" tint="-0.14993743705557422"/>
      </right>
      <top style="thin">
        <color theme="0" tint="-0.14993743705557422"/>
      </top>
      <bottom style="thin">
        <color indexed="64"/>
      </bottom>
      <diagonal/>
    </border>
    <border>
      <left/>
      <right style="thin">
        <color theme="0" tint="-0.14993743705557422"/>
      </right>
      <top style="thin">
        <color theme="0" tint="-0.14996795556505021"/>
      </top>
      <bottom style="thin">
        <color indexed="64"/>
      </bottom>
      <diagonal/>
    </border>
    <border>
      <left/>
      <right style="thin">
        <color theme="0" tint="-0.14993743705557422"/>
      </right>
      <top/>
      <bottom style="thin">
        <color indexed="64"/>
      </bottom>
      <diagonal/>
    </border>
    <border>
      <left/>
      <right style="thin">
        <color theme="0" tint="-0.14993743705557422"/>
      </right>
      <top/>
      <bottom/>
      <diagonal/>
    </border>
    <border>
      <left style="thin">
        <color theme="0" tint="-0.14993743705557422"/>
      </left>
      <right/>
      <top style="thin">
        <color theme="0" tint="-0.14993743705557422"/>
      </top>
      <bottom style="thin">
        <color indexed="64"/>
      </bottom>
      <diagonal/>
    </border>
    <border>
      <left/>
      <right style="thin">
        <color theme="0" tint="-0.14993743705557422"/>
      </right>
      <top style="thin">
        <color theme="0" tint="-0.14996795556505021"/>
      </top>
      <bottom/>
      <diagonal/>
    </border>
    <border>
      <left style="thin">
        <color theme="0" tint="-0.14993743705557422"/>
      </left>
      <right style="thin">
        <color theme="0" tint="-0.14993743705557422"/>
      </right>
      <top style="thin">
        <color theme="0" tint="-0.14993743705557422"/>
      </top>
      <bottom/>
      <diagonal/>
    </border>
    <border>
      <left/>
      <right/>
      <top style="thin">
        <color theme="4" tint="-0.24994659260841701"/>
      </top>
      <bottom style="thin">
        <color theme="0" tint="-0.14993743705557422"/>
      </bottom>
      <diagonal/>
    </border>
    <border>
      <left/>
      <right/>
      <top style="thin">
        <color theme="0" tint="-0.14996795556505021"/>
      </top>
      <bottom style="thin">
        <color theme="0" tint="-0.14993743705557422"/>
      </bottom>
      <diagonal/>
    </border>
    <border>
      <left/>
      <right/>
      <top/>
      <bottom style="thin">
        <color theme="0" tint="-0.14993743705557422"/>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top style="thin">
        <color theme="0" tint="-0.14993743705557422"/>
      </top>
      <bottom style="thin">
        <color theme="0" tint="-0.14993743705557422"/>
      </bottom>
      <diagonal/>
    </border>
    <border>
      <left/>
      <right/>
      <top style="thin">
        <color indexed="64"/>
      </top>
      <bottom style="thin">
        <color theme="0" tint="-0.14993743705557422"/>
      </bottom>
      <diagonal/>
    </border>
    <border>
      <left/>
      <right/>
      <top style="thin">
        <color theme="0" tint="-0.14996795556505021"/>
      </top>
      <bottom style="thin">
        <color indexed="64"/>
      </bottom>
      <diagonal/>
    </border>
    <border>
      <left/>
      <right/>
      <top style="thin">
        <color theme="0" tint="-0.14993743705557422"/>
      </top>
      <bottom style="thin">
        <color indexed="64"/>
      </bottom>
      <diagonal/>
    </border>
    <border>
      <left style="thin">
        <color theme="0" tint="-0.14996795556505021"/>
      </left>
      <right style="thin">
        <color theme="0" tint="-0.14996795556505021"/>
      </right>
      <top style="thin">
        <color indexed="64"/>
      </top>
      <bottom style="thin">
        <color theme="0" tint="-0.14993743705557422"/>
      </bottom>
      <diagonal/>
    </border>
    <border>
      <left style="thin">
        <color theme="0" tint="-0.14996795556505021"/>
      </left>
      <right style="thin">
        <color theme="0" tint="-0.14996795556505021"/>
      </right>
      <top/>
      <bottom style="thin">
        <color theme="0" tint="-0.14993743705557422"/>
      </bottom>
      <diagonal/>
    </border>
    <border>
      <left style="thin">
        <color theme="0" tint="-0.14996795556505021"/>
      </left>
      <right style="thin">
        <color theme="0" tint="-0.14996795556505021"/>
      </right>
      <top style="thin">
        <color theme="0" tint="-0.14993743705557422"/>
      </top>
      <bottom style="thin">
        <color theme="0" tint="-0.14993743705557422"/>
      </bottom>
      <diagonal/>
    </border>
    <border>
      <left/>
      <right/>
      <top style="thin">
        <color theme="0" tint="-0.14993743705557422"/>
      </top>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indexed="64"/>
      </top>
      <bottom style="thin">
        <color theme="0" tint="-0.14993743705557422"/>
      </bottom>
      <diagonal/>
    </border>
    <border>
      <left/>
      <right style="thin">
        <color theme="0" tint="-0.14993743705557422"/>
      </right>
      <top style="thin">
        <color theme="4" tint="-0.24994659260841701"/>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style="thin">
        <color theme="0" tint="-0.14993743705557422"/>
      </right>
      <top style="thin">
        <color indexed="64"/>
      </top>
      <bottom style="thin">
        <color theme="0" tint="-0.14993743705557422"/>
      </bottom>
      <diagonal/>
    </border>
    <border>
      <left/>
      <right style="thin">
        <color theme="0" tint="-0.14993743705557422"/>
      </right>
      <top style="thin">
        <color theme="0" tint="-0.14990691854609822"/>
      </top>
      <bottom style="thin">
        <color theme="0" tint="-0.14990691854609822"/>
      </bottom>
      <diagonal/>
    </border>
    <border>
      <left/>
      <right/>
      <top style="thin">
        <color indexed="64"/>
      </top>
      <bottom style="thin">
        <color theme="0"/>
      </bottom>
      <diagonal/>
    </border>
    <border>
      <left/>
      <right/>
      <top style="thin">
        <color theme="0"/>
      </top>
      <bottom style="thin">
        <color theme="0"/>
      </bottom>
      <diagonal/>
    </border>
    <border>
      <left/>
      <right/>
      <top style="thin">
        <color theme="0"/>
      </top>
      <bottom/>
      <diagonal/>
    </border>
    <border>
      <left style="thin">
        <color theme="0" tint="-0.14993743705557422"/>
      </left>
      <right/>
      <top/>
      <bottom style="thin">
        <color indexed="64"/>
      </bottom>
      <diagonal/>
    </border>
    <border>
      <left style="thin">
        <color theme="0" tint="-0.14993743705557422"/>
      </left>
      <right/>
      <top/>
      <bottom style="thin">
        <color theme="0" tint="-0.14993743705557422"/>
      </bottom>
      <diagonal/>
    </border>
    <border>
      <left style="thin">
        <color theme="0" tint="-0.14996795556505021"/>
      </left>
      <right/>
      <top/>
      <bottom/>
      <diagonal/>
    </border>
    <border>
      <left style="thin">
        <color theme="0" tint="-0.14996795556505021"/>
      </left>
      <right/>
      <top/>
      <bottom style="thin">
        <color theme="4" tint="-0.24994659260841701"/>
      </bottom>
      <diagonal/>
    </border>
    <border>
      <left style="thin">
        <color theme="0" tint="-0.14996795556505021"/>
      </left>
      <right style="thin">
        <color theme="0" tint="-0.14993743705557422"/>
      </right>
      <top style="thin">
        <color theme="0" tint="-0.14996795556505021"/>
      </top>
      <bottom style="thin">
        <color indexed="64"/>
      </bottom>
      <diagonal/>
    </border>
    <border>
      <left style="thin">
        <color theme="0" tint="-0.14996795556505021"/>
      </left>
      <right style="thin">
        <color theme="0" tint="-0.14993743705557422"/>
      </right>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3743705557422"/>
      </top>
      <bottom style="thin">
        <color indexed="64"/>
      </bottom>
      <diagonal/>
    </border>
    <border>
      <left style="thin">
        <color theme="0" tint="-0.14996795556505021"/>
      </left>
      <right style="thin">
        <color theme="0" tint="-0.14993743705557422"/>
      </right>
      <top style="thin">
        <color indexed="64"/>
      </top>
      <bottom style="thin">
        <color theme="0" tint="-0.14996795556505021"/>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right style="thin">
        <color theme="0" tint="-0.14993743705557422"/>
      </right>
      <top style="thin">
        <color indexed="64"/>
      </top>
      <bottom/>
      <diagonal/>
    </border>
    <border>
      <left style="thin">
        <color theme="0" tint="-0.14993743705557422"/>
      </left>
      <right/>
      <top style="thin">
        <color indexed="64"/>
      </top>
      <bottom style="thin">
        <color indexed="64"/>
      </bottom>
      <diagonal/>
    </border>
    <border>
      <left/>
      <right/>
      <top style="thin">
        <color indexed="64"/>
      </top>
      <bottom style="thin">
        <color indexed="64"/>
      </bottom>
      <diagonal/>
    </border>
    <border>
      <left/>
      <right style="thin">
        <color theme="0" tint="-0.14993743705557422"/>
      </right>
      <top style="thin">
        <color indexed="64"/>
      </top>
      <bottom style="thin">
        <color indexed="64"/>
      </bottom>
      <diagonal/>
    </border>
    <border>
      <left/>
      <right/>
      <top style="thin">
        <color theme="0" tint="-0.14993743705557422"/>
      </top>
      <bottom style="thin">
        <color theme="0" tint="-0.14996795556505021"/>
      </bottom>
      <diagonal/>
    </border>
    <border>
      <left style="thin">
        <color theme="0" tint="-0.14993743705557422"/>
      </left>
      <right/>
      <top style="thin">
        <color theme="0"/>
      </top>
      <bottom style="thin">
        <color theme="0"/>
      </bottom>
      <diagonal/>
    </border>
    <border>
      <left style="thin">
        <color theme="0" tint="-0.14990691854609822"/>
      </left>
      <right/>
      <top/>
      <bottom/>
      <diagonal/>
    </border>
    <border>
      <left style="thin">
        <color theme="0" tint="-0.14990691854609822"/>
      </left>
      <right/>
      <top style="thin">
        <color theme="0" tint="-0.1498764000366222"/>
      </top>
      <bottom style="thin">
        <color theme="0" tint="-0.1498764000366222"/>
      </bottom>
      <diagonal/>
    </border>
    <border>
      <left/>
      <right/>
      <top/>
      <bottom style="thin">
        <color theme="0" tint="-0.1498764000366222"/>
      </bottom>
      <diagonal/>
    </border>
    <border>
      <left/>
      <right/>
      <top style="thin">
        <color theme="0" tint="-0.14993743705557422"/>
      </top>
      <bottom style="thin">
        <color theme="0" tint="-0.14990691854609822"/>
      </bottom>
      <diagonal/>
    </border>
    <border>
      <left style="thin">
        <color theme="0" tint="-0.14990691854609822"/>
      </left>
      <right/>
      <top/>
      <bottom style="thin">
        <color theme="0" tint="-0.14993743705557422"/>
      </bottom>
      <diagonal/>
    </border>
    <border>
      <left style="thin">
        <color theme="0" tint="-0.14990691854609822"/>
      </left>
      <right/>
      <top style="thin">
        <color theme="0" tint="-0.14993743705557422"/>
      </top>
      <bottom style="thin">
        <color theme="0" tint="-0.14990691854609822"/>
      </bottom>
      <diagonal/>
    </border>
    <border>
      <left/>
      <right/>
      <top style="thin">
        <color indexed="64"/>
      </top>
      <bottom style="thin">
        <color theme="0" tint="-0.14996795556505021"/>
      </bottom>
      <diagonal/>
    </border>
    <border>
      <left/>
      <right/>
      <top style="thin">
        <color theme="0" tint="-0.14996795556505021"/>
      </top>
      <bottom style="thin">
        <color theme="0" tint="-0.14990691854609822"/>
      </bottom>
      <diagonal/>
    </border>
    <border>
      <left style="thin">
        <color theme="0" tint="-0.14990691854609822"/>
      </left>
      <right/>
      <top style="thin">
        <color theme="0" tint="-0.1498764000366222"/>
      </top>
      <bottom/>
      <diagonal/>
    </border>
    <border>
      <left/>
      <right/>
      <top/>
      <bottom style="thin">
        <color theme="0" tint="-0.14996795556505021"/>
      </bottom>
      <diagonal/>
    </border>
    <border>
      <left/>
      <right/>
      <top/>
      <bottom style="thin">
        <color theme="1"/>
      </bottom>
      <diagonal/>
    </border>
    <border>
      <left style="thin">
        <color theme="0" tint="-0.14993743705557422"/>
      </left>
      <right/>
      <top style="thin">
        <color theme="0" tint="-0.14990691854609822"/>
      </top>
      <bottom style="thin">
        <color theme="0" tint="-0.14990691854609822"/>
      </bottom>
      <diagonal/>
    </border>
    <border>
      <left/>
      <right/>
      <top style="thin">
        <color theme="0" tint="-0.14990691854609822"/>
      </top>
      <bottom style="thin">
        <color theme="0" tint="-0.14990691854609822"/>
      </bottom>
      <diagonal/>
    </border>
    <border>
      <left/>
      <right/>
      <top style="thin">
        <color indexed="64"/>
      </top>
      <bottom/>
      <diagonal/>
    </border>
    <border>
      <left/>
      <right/>
      <top style="thin">
        <color theme="1"/>
      </top>
      <bottom style="thin">
        <color theme="0" tint="-0.14990691854609822"/>
      </bottom>
      <diagonal/>
    </border>
    <border>
      <left/>
      <right/>
      <top style="thin">
        <color theme="0" tint="-0.14990691854609822"/>
      </top>
      <bottom style="thin">
        <color theme="0" tint="-0.14993743705557422"/>
      </bottom>
      <diagonal/>
    </border>
    <border>
      <left style="thin">
        <color theme="0" tint="-0.14990691854609822"/>
      </left>
      <right/>
      <top style="thin">
        <color theme="0" tint="-0.14990691854609822"/>
      </top>
      <bottom style="thin">
        <color theme="0" tint="-0.14990691854609822"/>
      </bottom>
      <diagonal/>
    </border>
    <border>
      <left/>
      <right style="thin">
        <color theme="0" tint="-0.14990691854609822"/>
      </right>
      <top style="thin">
        <color theme="0" tint="-0.14990691854609822"/>
      </top>
      <bottom style="thin">
        <color theme="0" tint="-0.14990691854609822"/>
      </bottom>
      <diagonal/>
    </border>
    <border>
      <left/>
      <right/>
      <top style="thin">
        <color theme="1"/>
      </top>
      <bottom/>
      <diagonal/>
    </border>
    <border>
      <left style="thin">
        <color theme="0" tint="-0.14993743705557422"/>
      </left>
      <right style="thin">
        <color theme="0" tint="-0.14993743705557422"/>
      </right>
      <top style="thin">
        <color theme="0" tint="-0.14993743705557422"/>
      </top>
      <bottom style="thin">
        <color theme="1"/>
      </bottom>
      <diagonal/>
    </border>
    <border>
      <left style="thin">
        <color theme="0" tint="-0.14990691854609822"/>
      </left>
      <right style="thin">
        <color theme="0" tint="-0.14993743705557422"/>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6795556505021"/>
      </top>
      <bottom style="thin">
        <color theme="0" tint="-0.14993743705557422"/>
      </bottom>
      <diagonal/>
    </border>
  </borders>
  <cellStyleXfs count="9">
    <xf numFmtId="0" fontId="0" fillId="0" borderId="0"/>
    <xf numFmtId="0" fontId="3" fillId="0" borderId="1" applyNumberFormat="0" applyFill="0" applyAlignment="0" applyProtection="0"/>
    <xf numFmtId="0" fontId="1" fillId="0" borderId="2" applyNumberFormat="0" applyFill="0" applyBorder="0" applyAlignment="0" applyProtection="0"/>
    <xf numFmtId="0" fontId="2" fillId="0" borderId="3" applyNumberFormat="0" applyFill="0" applyBorder="0" applyAlignment="0" applyProtection="0"/>
    <xf numFmtId="164" fontId="4" fillId="0" borderId="0" applyFont="0" applyFill="0" applyBorder="0" applyAlignment="0" applyProtection="0"/>
    <xf numFmtId="14" fontId="4"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30" fillId="0" borderId="0" applyNumberFormat="0" applyFill="0" applyBorder="0" applyAlignment="0" applyProtection="0"/>
  </cellStyleXfs>
  <cellXfs count="316">
    <xf numFmtId="0" fontId="0" fillId="0" borderId="0" xfId="0"/>
    <xf numFmtId="0" fontId="5" fillId="2" borderId="5" xfId="0" applyFont="1" applyFill="1" applyBorder="1" applyAlignment="1">
      <alignment horizontal="left" vertical="center" indent="1"/>
    </xf>
    <xf numFmtId="42" fontId="5" fillId="2" borderId="4" xfId="0" applyNumberFormat="1" applyFont="1" applyFill="1" applyBorder="1" applyAlignment="1">
      <alignment horizontal="right" vertical="center" indent="1"/>
    </xf>
    <xf numFmtId="0" fontId="5" fillId="2" borderId="7" xfId="0" applyFont="1" applyFill="1" applyBorder="1" applyAlignment="1">
      <alignment horizontal="left" vertical="center" indent="1"/>
    </xf>
    <xf numFmtId="42" fontId="5" fillId="2" borderId="8" xfId="0" applyNumberFormat="1" applyFont="1" applyFill="1" applyBorder="1" applyAlignment="1">
      <alignment horizontal="right" vertical="center" indent="1"/>
    </xf>
    <xf numFmtId="0" fontId="9" fillId="2" borderId="5" xfId="0" applyFont="1" applyFill="1" applyBorder="1" applyAlignment="1">
      <alignment horizontal="left" vertical="center" indent="1"/>
    </xf>
    <xf numFmtId="0" fontId="5" fillId="2" borderId="0" xfId="0" applyFont="1" applyFill="1" applyAlignment="1">
      <alignment horizontal="left" vertical="center" indent="1"/>
    </xf>
    <xf numFmtId="9" fontId="5" fillId="2" borderId="5" xfId="0" applyNumberFormat="1" applyFont="1" applyFill="1" applyBorder="1" applyAlignment="1">
      <alignment horizontal="left" vertical="center" indent="1"/>
    </xf>
    <xf numFmtId="42" fontId="13" fillId="0" borderId="6" xfId="0" applyNumberFormat="1" applyFont="1" applyBorder="1" applyAlignment="1">
      <alignment horizontal="right" vertical="center" indent="1"/>
    </xf>
    <xf numFmtId="0" fontId="14" fillId="0" borderId="6" xfId="0" applyFont="1" applyBorder="1" applyAlignment="1">
      <alignment horizontal="left" vertical="center" indent="1"/>
    </xf>
    <xf numFmtId="0" fontId="14" fillId="0" borderId="0" xfId="0" applyFont="1" applyAlignment="1">
      <alignment horizontal="left" vertical="center" indent="1"/>
    </xf>
    <xf numFmtId="42" fontId="13" fillId="0" borderId="0" xfId="0" applyNumberFormat="1" applyFont="1" applyAlignment="1">
      <alignment horizontal="right" vertical="center" indent="1"/>
    </xf>
    <xf numFmtId="42" fontId="15" fillId="0" borderId="9" xfId="0" applyNumberFormat="1" applyFont="1" applyBorder="1" applyAlignment="1">
      <alignment horizontal="right" vertical="center" wrapText="1" indent="1"/>
    </xf>
    <xf numFmtId="0" fontId="14" fillId="0" borderId="9" xfId="0" applyFont="1" applyBorder="1" applyAlignment="1">
      <alignment horizontal="left" vertical="center"/>
    </xf>
    <xf numFmtId="0" fontId="6" fillId="0" borderId="0" xfId="0" applyFont="1" applyAlignment="1">
      <alignment horizontal="left" vertical="center" indent="1"/>
    </xf>
    <xf numFmtId="42" fontId="7" fillId="0" borderId="0" xfId="0" applyNumberFormat="1" applyFont="1" applyAlignment="1">
      <alignment horizontal="right" vertical="center" indent="1"/>
    </xf>
    <xf numFmtId="1" fontId="5" fillId="2" borderId="4" xfId="0" applyNumberFormat="1" applyFont="1" applyFill="1" applyBorder="1" applyAlignment="1">
      <alignment horizontal="right" vertical="center" indent="1"/>
    </xf>
    <xf numFmtId="1" fontId="5" fillId="2" borderId="8" xfId="0" applyNumberFormat="1" applyFont="1" applyFill="1" applyBorder="1" applyAlignment="1">
      <alignment horizontal="right" vertical="center" indent="1"/>
    </xf>
    <xf numFmtId="42" fontId="15" fillId="0" borderId="9" xfId="0" applyNumberFormat="1" applyFont="1" applyBorder="1" applyAlignment="1">
      <alignment horizontal="right" vertical="center" indent="1"/>
    </xf>
    <xf numFmtId="37" fontId="15" fillId="0" borderId="9" xfId="0" applyNumberFormat="1" applyFont="1" applyBorder="1" applyAlignment="1">
      <alignment horizontal="right" vertical="center" indent="1"/>
    </xf>
    <xf numFmtId="1" fontId="5" fillId="2" borderId="10" xfId="0" applyNumberFormat="1" applyFont="1" applyFill="1" applyBorder="1" applyAlignment="1">
      <alignment horizontal="right" vertical="center" indent="1"/>
    </xf>
    <xf numFmtId="9" fontId="5" fillId="2" borderId="7" xfId="0" applyNumberFormat="1" applyFont="1" applyFill="1" applyBorder="1" applyAlignment="1">
      <alignment horizontal="left" vertical="center" indent="1"/>
    </xf>
    <xf numFmtId="9" fontId="18" fillId="2" borderId="11" xfId="0" applyNumberFormat="1" applyFont="1" applyFill="1" applyBorder="1" applyAlignment="1">
      <alignment horizontal="left" vertical="center" indent="1"/>
    </xf>
    <xf numFmtId="0" fontId="18" fillId="2" borderId="11" xfId="0" applyFont="1" applyFill="1" applyBorder="1" applyAlignment="1">
      <alignment horizontal="left" vertical="center" indent="1"/>
    </xf>
    <xf numFmtId="42" fontId="18" fillId="2" borderId="10" xfId="0" applyNumberFormat="1" applyFont="1" applyFill="1" applyBorder="1" applyAlignment="1">
      <alignment horizontal="right" vertical="center" indent="1"/>
    </xf>
    <xf numFmtId="165" fontId="18" fillId="2" borderId="10" xfId="0" applyNumberFormat="1" applyFont="1" applyFill="1" applyBorder="1" applyAlignment="1">
      <alignment horizontal="right" vertical="center" indent="1"/>
    </xf>
    <xf numFmtId="10" fontId="5" fillId="2" borderId="4" xfId="0" applyNumberFormat="1" applyFont="1" applyFill="1" applyBorder="1" applyAlignment="1">
      <alignment horizontal="right" vertical="center" indent="1"/>
    </xf>
    <xf numFmtId="0" fontId="18" fillId="2" borderId="12" xfId="0" applyFont="1" applyFill="1" applyBorder="1" applyAlignment="1">
      <alignment horizontal="right" vertical="center" indent="1"/>
    </xf>
    <xf numFmtId="1" fontId="5" fillId="2" borderId="0" xfId="0" applyNumberFormat="1" applyFont="1" applyFill="1" applyAlignment="1">
      <alignment horizontal="right" vertical="center" indent="1"/>
    </xf>
    <xf numFmtId="0" fontId="18" fillId="2" borderId="12" xfId="0" applyFont="1" applyFill="1" applyBorder="1" applyAlignment="1">
      <alignment horizontal="left" vertical="center" indent="1"/>
    </xf>
    <xf numFmtId="0" fontId="20" fillId="0" borderId="0" xfId="0" applyFont="1"/>
    <xf numFmtId="0" fontId="21" fillId="0" borderId="6" xfId="0" applyFont="1" applyBorder="1" applyAlignment="1">
      <alignment horizontal="left" vertical="center" indent="1"/>
    </xf>
    <xf numFmtId="42" fontId="15" fillId="0" borderId="6" xfId="0" applyNumberFormat="1" applyFont="1" applyBorder="1" applyAlignment="1">
      <alignment horizontal="right" vertical="center" indent="1"/>
    </xf>
    <xf numFmtId="0" fontId="15" fillId="0" borderId="6" xfId="0" applyFont="1" applyBorder="1" applyAlignment="1">
      <alignment horizontal="left" vertical="center" indent="1"/>
    </xf>
    <xf numFmtId="0" fontId="16" fillId="0" borderId="0" xfId="0" applyFont="1" applyAlignment="1">
      <alignment horizontal="left" vertical="center" indent="1"/>
    </xf>
    <xf numFmtId="1" fontId="17" fillId="2" borderId="10" xfId="0" applyNumberFormat="1" applyFont="1" applyFill="1" applyBorder="1" applyAlignment="1">
      <alignment horizontal="right" vertical="center" indent="1"/>
    </xf>
    <xf numFmtId="0" fontId="15" fillId="0" borderId="9" xfId="0" applyFont="1" applyBorder="1" applyAlignment="1">
      <alignment horizontal="left" vertical="center" indent="1"/>
    </xf>
    <xf numFmtId="1" fontId="5" fillId="2" borderId="7" xfId="0" applyNumberFormat="1" applyFont="1" applyFill="1" applyBorder="1" applyAlignment="1">
      <alignment horizontal="left" vertical="center" indent="1"/>
    </xf>
    <xf numFmtId="166" fontId="5" fillId="0" borderId="0" xfId="0" applyNumberFormat="1" applyFont="1" applyAlignment="1">
      <alignment horizontal="right" vertical="center" indent="1"/>
    </xf>
    <xf numFmtId="0" fontId="18" fillId="2" borderId="13" xfId="0" applyFont="1" applyFill="1" applyBorder="1" applyAlignment="1">
      <alignment horizontal="right" vertical="center" indent="1"/>
    </xf>
    <xf numFmtId="167" fontId="5" fillId="2" borderId="4" xfId="0" applyNumberFormat="1" applyFont="1" applyFill="1" applyBorder="1" applyAlignment="1">
      <alignment horizontal="right" vertical="center" indent="1"/>
    </xf>
    <xf numFmtId="167" fontId="5" fillId="2" borderId="8" xfId="0" applyNumberFormat="1" applyFont="1" applyFill="1" applyBorder="1" applyAlignment="1">
      <alignment horizontal="right" vertical="center" indent="1"/>
    </xf>
    <xf numFmtId="42" fontId="22" fillId="2" borderId="10" xfId="0" applyNumberFormat="1" applyFont="1" applyFill="1" applyBorder="1" applyAlignment="1">
      <alignment horizontal="right" vertical="center" indent="1"/>
    </xf>
    <xf numFmtId="0" fontId="5" fillId="0" borderId="0" xfId="0" applyFont="1" applyAlignment="1">
      <alignment horizontal="left" vertical="center" indent="1"/>
    </xf>
    <xf numFmtId="0" fontId="5" fillId="0" borderId="0" xfId="0" applyFont="1" applyAlignment="1">
      <alignment horizontal="right" vertical="center" indent="1"/>
    </xf>
    <xf numFmtId="42" fontId="5" fillId="0" borderId="0" xfId="0" applyNumberFormat="1" applyFont="1" applyAlignment="1">
      <alignment horizontal="right" vertical="center" indent="1"/>
    </xf>
    <xf numFmtId="9" fontId="5" fillId="0" borderId="0" xfId="0" applyNumberFormat="1" applyFont="1" applyAlignment="1">
      <alignment horizontal="right" vertical="center" indent="1"/>
    </xf>
    <xf numFmtId="0" fontId="5" fillId="2" borderId="14" xfId="0" applyFont="1" applyFill="1" applyBorder="1" applyAlignment="1">
      <alignment horizontal="left" vertical="center" indent="1"/>
    </xf>
    <xf numFmtId="42" fontId="5" fillId="2" borderId="10" xfId="0" applyNumberFormat="1" applyFont="1" applyFill="1" applyBorder="1" applyAlignment="1">
      <alignment horizontal="right" vertical="center" indent="1"/>
    </xf>
    <xf numFmtId="42" fontId="23" fillId="3" borderId="8" xfId="0" applyNumberFormat="1" applyFont="1" applyFill="1" applyBorder="1" applyAlignment="1">
      <alignment horizontal="right" vertical="center" indent="1"/>
    </xf>
    <xf numFmtId="42" fontId="23" fillId="3" borderId="4" xfId="0" applyNumberFormat="1" applyFont="1" applyFill="1" applyBorder="1" applyAlignment="1">
      <alignment horizontal="right" vertical="center" indent="1"/>
    </xf>
    <xf numFmtId="42" fontId="18" fillId="0" borderId="15" xfId="0" applyNumberFormat="1" applyFont="1" applyBorder="1" applyAlignment="1">
      <alignment horizontal="right" vertical="center" indent="1"/>
    </xf>
    <xf numFmtId="0" fontId="5" fillId="2" borderId="16" xfId="0" applyFont="1" applyFill="1" applyBorder="1" applyAlignment="1">
      <alignment horizontal="left" vertical="center" indent="1"/>
    </xf>
    <xf numFmtId="37" fontId="15" fillId="0" borderId="9" xfId="0" applyNumberFormat="1" applyFont="1" applyBorder="1" applyAlignment="1">
      <alignment horizontal="left" vertical="center" indent="1"/>
    </xf>
    <xf numFmtId="1" fontId="5" fillId="2" borderId="5" xfId="0" applyNumberFormat="1" applyFont="1" applyFill="1" applyBorder="1" applyAlignment="1">
      <alignment horizontal="left" vertical="center" indent="1"/>
    </xf>
    <xf numFmtId="0" fontId="18" fillId="2" borderId="13" xfId="0" applyFont="1" applyFill="1" applyBorder="1" applyAlignment="1">
      <alignment horizontal="left" vertical="center" indent="1"/>
    </xf>
    <xf numFmtId="42" fontId="5" fillId="2" borderId="17" xfId="0" applyNumberFormat="1" applyFont="1" applyFill="1" applyBorder="1" applyAlignment="1">
      <alignment horizontal="right" vertical="center" indent="1"/>
    </xf>
    <xf numFmtId="0" fontId="18" fillId="0" borderId="9" xfId="0" applyFont="1" applyBorder="1" applyAlignment="1">
      <alignment horizontal="right" vertical="center" indent="1"/>
    </xf>
    <xf numFmtId="168" fontId="5" fillId="0" borderId="0" xfId="0" applyNumberFormat="1" applyFont="1" applyAlignment="1">
      <alignment horizontal="right" vertical="center" indent="1"/>
    </xf>
    <xf numFmtId="0" fontId="0" fillId="3" borderId="0" xfId="0" applyFill="1"/>
    <xf numFmtId="0" fontId="19" fillId="2" borderId="0" xfId="0" applyFont="1" applyFill="1" applyAlignment="1">
      <alignment horizontal="left" vertical="center" indent="1"/>
    </xf>
    <xf numFmtId="42" fontId="5" fillId="2" borderId="0" xfId="0" applyNumberFormat="1" applyFont="1" applyFill="1" applyAlignment="1">
      <alignment horizontal="right" vertical="center" indent="1"/>
    </xf>
    <xf numFmtId="0" fontId="5" fillId="2" borderId="19" xfId="0" applyFont="1" applyFill="1" applyBorder="1" applyAlignment="1">
      <alignment horizontal="left" vertical="center" indent="1"/>
    </xf>
    <xf numFmtId="0" fontId="5" fillId="2" borderId="21" xfId="0" applyFont="1" applyFill="1" applyBorder="1" applyAlignment="1">
      <alignment horizontal="left" vertical="center" indent="1"/>
    </xf>
    <xf numFmtId="0" fontId="5" fillId="2" borderId="22" xfId="0" applyFont="1" applyFill="1" applyBorder="1" applyAlignment="1">
      <alignment horizontal="left" vertical="center" indent="1"/>
    </xf>
    <xf numFmtId="0" fontId="5" fillId="2" borderId="20" xfId="0" applyFont="1" applyFill="1" applyBorder="1" applyAlignment="1">
      <alignment horizontal="left" vertical="center" indent="1"/>
    </xf>
    <xf numFmtId="42" fontId="5" fillId="2" borderId="23" xfId="0" applyNumberFormat="1" applyFont="1" applyFill="1" applyBorder="1" applyAlignment="1">
      <alignment horizontal="right" vertical="center" indent="1"/>
    </xf>
    <xf numFmtId="0" fontId="0" fillId="4" borderId="0" xfId="0" applyFill="1"/>
    <xf numFmtId="0" fontId="19" fillId="4" borderId="0" xfId="0" applyFont="1" applyFill="1" applyAlignment="1">
      <alignment horizontal="left" vertical="center" indent="1"/>
    </xf>
    <xf numFmtId="0" fontId="5" fillId="4" borderId="0" xfId="0" applyFont="1" applyFill="1" applyAlignment="1">
      <alignment horizontal="left" vertical="center" indent="1"/>
    </xf>
    <xf numFmtId="42" fontId="5" fillId="4" borderId="0" xfId="0" applyNumberFormat="1" applyFont="1" applyFill="1" applyAlignment="1">
      <alignment horizontal="right" vertical="center" indent="1"/>
    </xf>
    <xf numFmtId="0" fontId="20" fillId="4" borderId="0" xfId="0" applyFont="1" applyFill="1"/>
    <xf numFmtId="0" fontId="5" fillId="2" borderId="24" xfId="0" applyFont="1" applyFill="1" applyBorder="1" applyAlignment="1">
      <alignment horizontal="left" vertical="center" indent="1"/>
    </xf>
    <xf numFmtId="0" fontId="18" fillId="2" borderId="25" xfId="0" applyFont="1" applyFill="1" applyBorder="1" applyAlignment="1">
      <alignment horizontal="left" vertical="center" indent="1"/>
    </xf>
    <xf numFmtId="42" fontId="5" fillId="2" borderId="27" xfId="0" applyNumberFormat="1" applyFont="1" applyFill="1" applyBorder="1" applyAlignment="1">
      <alignment horizontal="right" vertical="center" indent="1"/>
    </xf>
    <xf numFmtId="42" fontId="5" fillId="2" borderId="29" xfId="0" applyNumberFormat="1" applyFont="1" applyFill="1" applyBorder="1" applyAlignment="1">
      <alignment horizontal="right" vertical="center" indent="1"/>
    </xf>
    <xf numFmtId="0" fontId="12" fillId="2" borderId="0" xfId="0" applyFont="1" applyFill="1" applyAlignment="1">
      <alignment horizontal="left" vertical="center" indent="1"/>
    </xf>
    <xf numFmtId="0" fontId="12" fillId="4" borderId="0" xfId="0" applyFont="1" applyFill="1" applyAlignment="1">
      <alignment horizontal="left" vertical="center" indent="1"/>
    </xf>
    <xf numFmtId="0" fontId="5" fillId="4" borderId="5" xfId="0" applyFont="1" applyFill="1" applyBorder="1" applyAlignment="1">
      <alignment horizontal="left" vertical="center" indent="1"/>
    </xf>
    <xf numFmtId="42" fontId="5" fillId="4" borderId="4" xfId="0" applyNumberFormat="1" applyFont="1" applyFill="1" applyBorder="1" applyAlignment="1">
      <alignment horizontal="right" vertical="center" indent="1"/>
    </xf>
    <xf numFmtId="42" fontId="18" fillId="2" borderId="26" xfId="0" applyNumberFormat="1" applyFont="1" applyFill="1" applyBorder="1" applyAlignment="1">
      <alignment horizontal="right" vertical="center" indent="1"/>
    </xf>
    <xf numFmtId="42" fontId="5" fillId="2" borderId="20" xfId="0" applyNumberFormat="1" applyFont="1" applyFill="1" applyBorder="1" applyAlignment="1">
      <alignment horizontal="right" vertical="center" indent="1"/>
    </xf>
    <xf numFmtId="0" fontId="0" fillId="0" borderId="21" xfId="0" applyBorder="1"/>
    <xf numFmtId="0" fontId="0" fillId="2" borderId="0" xfId="0" applyFill="1"/>
    <xf numFmtId="0" fontId="10" fillId="2" borderId="0" xfId="0" applyFont="1" applyFill="1" applyAlignment="1">
      <alignment horizontal="left" vertical="center" indent="1"/>
    </xf>
    <xf numFmtId="42" fontId="10" fillId="2" borderId="0" xfId="0" applyNumberFormat="1" applyFont="1" applyFill="1" applyAlignment="1">
      <alignment horizontal="right" vertical="center" indent="1"/>
    </xf>
    <xf numFmtId="0" fontId="5" fillId="2" borderId="30" xfId="0" applyFont="1" applyFill="1" applyBorder="1" applyAlignment="1">
      <alignment horizontal="left" vertical="center" indent="1"/>
    </xf>
    <xf numFmtId="42" fontId="5" fillId="2" borderId="30" xfId="0" applyNumberFormat="1" applyFont="1" applyFill="1" applyBorder="1" applyAlignment="1">
      <alignment horizontal="right" vertical="center" indent="1"/>
    </xf>
    <xf numFmtId="0" fontId="5" fillId="2" borderId="30" xfId="0" applyFont="1" applyFill="1" applyBorder="1" applyAlignment="1">
      <alignment horizontal="right" vertical="center" indent="1"/>
    </xf>
    <xf numFmtId="0" fontId="0" fillId="0" borderId="9" xfId="0" applyBorder="1"/>
    <xf numFmtId="0" fontId="19" fillId="2" borderId="20" xfId="0" applyFont="1" applyFill="1" applyBorder="1" applyAlignment="1">
      <alignment horizontal="left" vertical="center" indent="1"/>
    </xf>
    <xf numFmtId="0" fontId="18" fillId="2" borderId="9" xfId="0" applyFont="1" applyFill="1" applyBorder="1" applyAlignment="1">
      <alignment horizontal="left" vertical="center" indent="1"/>
    </xf>
    <xf numFmtId="42" fontId="23" fillId="0" borderId="0" xfId="0" applyNumberFormat="1" applyFont="1" applyAlignment="1">
      <alignment horizontal="right" vertical="center" indent="1"/>
    </xf>
    <xf numFmtId="0" fontId="15" fillId="0" borderId="0" xfId="0" applyFont="1" applyAlignment="1">
      <alignment horizontal="left" vertical="center" indent="1"/>
    </xf>
    <xf numFmtId="42" fontId="15" fillId="0" borderId="0" xfId="0" applyNumberFormat="1" applyFont="1" applyAlignment="1">
      <alignment horizontal="right" vertical="center" indent="1"/>
    </xf>
    <xf numFmtId="0" fontId="20" fillId="4" borderId="0" xfId="0" applyFont="1" applyFill="1" applyAlignment="1">
      <alignment horizontal="left" vertical="center" indent="1"/>
    </xf>
    <xf numFmtId="42" fontId="18" fillId="2" borderId="9" xfId="0" applyNumberFormat="1" applyFont="1" applyFill="1" applyBorder="1" applyAlignment="1">
      <alignment horizontal="right" vertical="center" indent="1"/>
    </xf>
    <xf numFmtId="0" fontId="5" fillId="2" borderId="36" xfId="0" applyFont="1" applyFill="1" applyBorder="1" applyAlignment="1">
      <alignment horizontal="left" vertical="center" indent="1"/>
    </xf>
    <xf numFmtId="0" fontId="0" fillId="0" borderId="30" xfId="0" applyBorder="1"/>
    <xf numFmtId="168" fontId="8" fillId="3" borderId="37" xfId="0" applyNumberFormat="1" applyFont="1" applyFill="1" applyBorder="1" applyAlignment="1">
      <alignment horizontal="right" vertical="center" indent="1"/>
    </xf>
    <xf numFmtId="168" fontId="8" fillId="3" borderId="38" xfId="0" applyNumberFormat="1" applyFont="1" applyFill="1" applyBorder="1" applyAlignment="1">
      <alignment horizontal="right" vertical="center" indent="1"/>
    </xf>
    <xf numFmtId="168" fontId="8" fillId="3" borderId="39" xfId="0" applyNumberFormat="1" applyFont="1" applyFill="1" applyBorder="1" applyAlignment="1">
      <alignment horizontal="right" vertical="center" indent="1"/>
    </xf>
    <xf numFmtId="10" fontId="25" fillId="3" borderId="41" xfId="6" applyNumberFormat="1" applyFont="1" applyFill="1" applyBorder="1" applyAlignment="1">
      <alignment horizontal="center" vertical="center"/>
    </xf>
    <xf numFmtId="0" fontId="0" fillId="0" borderId="40" xfId="0" applyBorder="1"/>
    <xf numFmtId="169" fontId="25" fillId="3" borderId="41" xfId="6" applyNumberFormat="1" applyFont="1" applyFill="1" applyBorder="1" applyAlignment="1">
      <alignment horizontal="center" vertical="center"/>
    </xf>
    <xf numFmtId="9" fontId="25" fillId="3" borderId="41" xfId="6" applyFont="1" applyFill="1" applyBorder="1" applyAlignment="1">
      <alignment horizontal="center" vertical="center"/>
    </xf>
    <xf numFmtId="1" fontId="25" fillId="3" borderId="41" xfId="6" applyNumberFormat="1" applyFont="1" applyFill="1" applyBorder="1" applyAlignment="1">
      <alignment horizontal="center" vertical="center"/>
    </xf>
    <xf numFmtId="0" fontId="20" fillId="0" borderId="0" xfId="0" applyFont="1" applyAlignment="1">
      <alignment horizontal="left" vertical="center" indent="1"/>
    </xf>
    <xf numFmtId="0" fontId="14" fillId="0" borderId="43" xfId="0" applyFont="1" applyBorder="1" applyAlignment="1">
      <alignment horizontal="left" vertical="center" indent="1"/>
    </xf>
    <xf numFmtId="0" fontId="0" fillId="0" borderId="42" xfId="0" applyBorder="1"/>
    <xf numFmtId="0" fontId="18" fillId="2" borderId="44" xfId="0" applyFont="1" applyFill="1" applyBorder="1" applyAlignment="1">
      <alignment horizontal="left" vertical="center" indent="1"/>
    </xf>
    <xf numFmtId="0" fontId="5" fillId="2" borderId="45" xfId="0" applyFont="1" applyFill="1" applyBorder="1" applyAlignment="1">
      <alignment horizontal="left" vertical="center" indent="1"/>
    </xf>
    <xf numFmtId="0" fontId="18" fillId="2" borderId="47" xfId="0" applyFont="1" applyFill="1" applyBorder="1" applyAlignment="1">
      <alignment horizontal="left" vertical="center" indent="1"/>
    </xf>
    <xf numFmtId="0" fontId="5" fillId="2" borderId="48" xfId="0" applyFont="1" applyFill="1" applyBorder="1" applyAlignment="1">
      <alignment horizontal="left" vertical="center" indent="1"/>
    </xf>
    <xf numFmtId="0" fontId="5" fillId="2" borderId="49" xfId="0" applyFont="1" applyFill="1" applyBorder="1" applyAlignment="1">
      <alignment horizontal="left" vertical="center" indent="1"/>
    </xf>
    <xf numFmtId="0" fontId="5" fillId="2" borderId="46" xfId="0" applyFont="1" applyFill="1" applyBorder="1" applyAlignment="1">
      <alignment horizontal="left" vertical="center" indent="1"/>
    </xf>
    <xf numFmtId="0" fontId="19" fillId="2" borderId="9" xfId="0" applyFont="1" applyFill="1" applyBorder="1" applyAlignment="1">
      <alignment horizontal="left" vertical="center" indent="1"/>
    </xf>
    <xf numFmtId="0" fontId="19" fillId="2" borderId="30" xfId="0" applyFont="1" applyFill="1" applyBorder="1" applyAlignment="1">
      <alignment horizontal="left" vertical="center" indent="1"/>
    </xf>
    <xf numFmtId="1" fontId="25" fillId="0" borderId="41" xfId="6" applyNumberFormat="1" applyFont="1" applyFill="1" applyBorder="1" applyAlignment="1">
      <alignment horizontal="center" vertical="center"/>
    </xf>
    <xf numFmtId="10" fontId="5" fillId="0" borderId="0" xfId="6" applyNumberFormat="1" applyFont="1" applyAlignment="1">
      <alignment horizontal="right" vertical="center" indent="1"/>
    </xf>
    <xf numFmtId="0" fontId="18" fillId="2" borderId="50" xfId="0" applyFont="1" applyFill="1" applyBorder="1" applyAlignment="1">
      <alignment horizontal="left" vertical="center" indent="1"/>
    </xf>
    <xf numFmtId="9" fontId="5" fillId="2" borderId="20" xfId="0" applyNumberFormat="1" applyFont="1" applyFill="1" applyBorder="1" applyAlignment="1">
      <alignment horizontal="left" vertical="center" indent="1"/>
    </xf>
    <xf numFmtId="169" fontId="26" fillId="0" borderId="41" xfId="6" applyNumberFormat="1" applyFont="1" applyFill="1" applyBorder="1" applyAlignment="1">
      <alignment horizontal="center" vertical="center"/>
    </xf>
    <xf numFmtId="10" fontId="26" fillId="0" borderId="41" xfId="6" applyNumberFormat="1" applyFont="1" applyFill="1" applyBorder="1" applyAlignment="1">
      <alignment horizontal="center" vertical="center"/>
    </xf>
    <xf numFmtId="10" fontId="5" fillId="3" borderId="55" xfId="6" applyNumberFormat="1" applyFont="1" applyFill="1" applyBorder="1" applyAlignment="1">
      <alignment horizontal="right" vertical="center" indent="1"/>
    </xf>
    <xf numFmtId="9" fontId="27" fillId="0" borderId="40" xfId="0" applyNumberFormat="1" applyFont="1" applyBorder="1" applyAlignment="1">
      <alignment horizontal="center" vertical="center"/>
    </xf>
    <xf numFmtId="9" fontId="18" fillId="2" borderId="9" xfId="0" applyNumberFormat="1" applyFont="1" applyFill="1" applyBorder="1" applyAlignment="1">
      <alignment horizontal="left" vertical="center" indent="1"/>
    </xf>
    <xf numFmtId="165" fontId="18" fillId="2" borderId="9" xfId="0" applyNumberFormat="1" applyFont="1" applyFill="1" applyBorder="1" applyAlignment="1">
      <alignment horizontal="right" vertical="center" indent="1"/>
    </xf>
    <xf numFmtId="0" fontId="0" fillId="0" borderId="58" xfId="0" applyBorder="1"/>
    <xf numFmtId="10" fontId="18" fillId="2" borderId="9" xfId="0" applyNumberFormat="1" applyFont="1" applyFill="1" applyBorder="1" applyAlignment="1">
      <alignment horizontal="right" vertical="center" indent="1"/>
    </xf>
    <xf numFmtId="9" fontId="5" fillId="2" borderId="19" xfId="0" applyNumberFormat="1" applyFont="1" applyFill="1" applyBorder="1" applyAlignment="1">
      <alignment horizontal="left" vertical="center" indent="1"/>
    </xf>
    <xf numFmtId="0" fontId="5" fillId="2" borderId="59" xfId="0" applyFont="1" applyFill="1" applyBorder="1" applyAlignment="1">
      <alignment horizontal="left" vertical="center" indent="1"/>
    </xf>
    <xf numFmtId="10" fontId="23" fillId="5" borderId="23" xfId="0" applyNumberFormat="1" applyFont="1" applyFill="1" applyBorder="1" applyAlignment="1">
      <alignment horizontal="right" vertical="center" indent="1"/>
    </xf>
    <xf numFmtId="10" fontId="23" fillId="5" borderId="59" xfId="0" applyNumberFormat="1" applyFont="1" applyFill="1" applyBorder="1" applyAlignment="1">
      <alignment horizontal="right" vertical="center" indent="1"/>
    </xf>
    <xf numFmtId="9" fontId="5" fillId="2" borderId="24" xfId="0" applyNumberFormat="1" applyFont="1" applyFill="1" applyBorder="1" applyAlignment="1">
      <alignment horizontal="left" vertical="center" indent="1"/>
    </xf>
    <xf numFmtId="0" fontId="0" fillId="0" borderId="62" xfId="0" applyBorder="1"/>
    <xf numFmtId="0" fontId="5" fillId="2" borderId="63" xfId="0" applyFont="1" applyFill="1" applyBorder="1" applyAlignment="1">
      <alignment horizontal="left" vertical="center" indent="1"/>
    </xf>
    <xf numFmtId="0" fontId="0" fillId="0" borderId="22" xfId="0" applyBorder="1"/>
    <xf numFmtId="0" fontId="5" fillId="2" borderId="34" xfId="0" applyFont="1" applyFill="1" applyBorder="1" applyAlignment="1">
      <alignment horizontal="left" vertical="center" indent="1"/>
    </xf>
    <xf numFmtId="0" fontId="5" fillId="2" borderId="21" xfId="0" applyFont="1" applyFill="1" applyBorder="1" applyAlignment="1">
      <alignment horizontal="center" vertical="center"/>
    </xf>
    <xf numFmtId="9" fontId="19" fillId="2" borderId="21" xfId="0" applyNumberFormat="1" applyFont="1" applyFill="1" applyBorder="1" applyAlignment="1">
      <alignment horizontal="center" vertical="center"/>
    </xf>
    <xf numFmtId="0" fontId="10" fillId="4" borderId="0" xfId="0" applyFont="1" applyFill="1" applyAlignment="1">
      <alignment horizontal="left" vertical="center" indent="1"/>
    </xf>
    <xf numFmtId="0" fontId="15" fillId="4" borderId="0" xfId="0" applyFont="1" applyFill="1" applyAlignment="1">
      <alignment horizontal="left" vertical="center" indent="1"/>
    </xf>
    <xf numFmtId="0" fontId="19" fillId="2" borderId="21" xfId="0" applyFont="1" applyFill="1" applyBorder="1" applyAlignment="1">
      <alignment horizontal="left" vertical="center" indent="1"/>
    </xf>
    <xf numFmtId="0" fontId="5" fillId="2" borderId="65" xfId="0" applyFont="1" applyFill="1" applyBorder="1" applyAlignment="1">
      <alignment horizontal="center" vertical="center"/>
    </xf>
    <xf numFmtId="9" fontId="19" fillId="2" borderId="65" xfId="0" applyNumberFormat="1" applyFont="1" applyFill="1" applyBorder="1" applyAlignment="1">
      <alignment horizontal="center" vertical="center"/>
    </xf>
    <xf numFmtId="42" fontId="15" fillId="0" borderId="65" xfId="0" applyNumberFormat="1" applyFont="1" applyBorder="1" applyAlignment="1">
      <alignment horizontal="right" vertical="center" indent="1"/>
    </xf>
    <xf numFmtId="0" fontId="29" fillId="0" borderId="6" xfId="0" applyFont="1" applyBorder="1" applyAlignment="1">
      <alignment horizontal="left" vertical="center" indent="1"/>
    </xf>
    <xf numFmtId="9" fontId="19" fillId="2" borderId="0" xfId="0" applyNumberFormat="1" applyFont="1" applyFill="1" applyAlignment="1">
      <alignment horizontal="left" vertical="center" indent="1"/>
    </xf>
    <xf numFmtId="0" fontId="0" fillId="0" borderId="68" xfId="0" applyBorder="1"/>
    <xf numFmtId="0" fontId="19" fillId="2" borderId="0" xfId="8" applyFont="1" applyFill="1" applyBorder="1" applyAlignment="1">
      <alignment horizontal="left" vertical="center" indent="1"/>
    </xf>
    <xf numFmtId="0" fontId="19" fillId="2" borderId="19" xfId="8" applyFont="1" applyFill="1" applyBorder="1" applyAlignment="1">
      <alignment horizontal="left" vertical="center" indent="1"/>
    </xf>
    <xf numFmtId="9" fontId="19" fillId="0" borderId="21" xfId="0" applyNumberFormat="1" applyFont="1" applyBorder="1" applyAlignment="1">
      <alignment horizontal="center" vertical="center"/>
    </xf>
    <xf numFmtId="0" fontId="0" fillId="0" borderId="0" xfId="0" applyAlignment="1">
      <alignment horizontal="center"/>
    </xf>
    <xf numFmtId="0" fontId="20" fillId="0" borderId="0" xfId="0" applyFont="1" applyAlignment="1">
      <alignment horizontal="center"/>
    </xf>
    <xf numFmtId="42" fontId="23" fillId="3" borderId="20" xfId="0" applyNumberFormat="1" applyFont="1" applyFill="1" applyBorder="1" applyAlignment="1" applyProtection="1">
      <alignment horizontal="right" vertical="center" indent="1"/>
      <protection locked="0"/>
    </xf>
    <xf numFmtId="0" fontId="19" fillId="2" borderId="0" xfId="0" applyFont="1" applyFill="1" applyAlignment="1" applyProtection="1">
      <alignment horizontal="left" vertical="center" indent="1"/>
      <protection locked="0"/>
    </xf>
    <xf numFmtId="42" fontId="23" fillId="3" borderId="23" xfId="0" applyNumberFormat="1" applyFont="1" applyFill="1" applyBorder="1" applyAlignment="1" applyProtection="1">
      <alignment horizontal="right" vertical="center" indent="1"/>
      <protection locked="0"/>
    </xf>
    <xf numFmtId="0" fontId="0" fillId="0" borderId="0" xfId="0" applyProtection="1">
      <protection locked="0"/>
    </xf>
    <xf numFmtId="0" fontId="18" fillId="2" borderId="0" xfId="0" applyFont="1" applyFill="1" applyAlignment="1">
      <alignment horizontal="left" vertical="center" indent="1"/>
    </xf>
    <xf numFmtId="0" fontId="19" fillId="2" borderId="69" xfId="8" applyFont="1" applyFill="1" applyBorder="1" applyAlignment="1">
      <alignment horizontal="left" vertical="center" indent="1"/>
    </xf>
    <xf numFmtId="0" fontId="19" fillId="2" borderId="68" xfId="8" applyFont="1" applyFill="1" applyBorder="1" applyAlignment="1">
      <alignment horizontal="left" vertical="center" indent="1"/>
    </xf>
    <xf numFmtId="0" fontId="19" fillId="2" borderId="71" xfId="8" applyFont="1" applyFill="1" applyBorder="1" applyAlignment="1">
      <alignment horizontal="left" vertical="center" indent="1"/>
    </xf>
    <xf numFmtId="0" fontId="18" fillId="0" borderId="9" xfId="0" applyFont="1" applyBorder="1" applyAlignment="1">
      <alignment horizontal="left" vertical="center" indent="1"/>
    </xf>
    <xf numFmtId="42" fontId="5" fillId="2" borderId="4" xfId="0" applyNumberFormat="1" applyFont="1" applyFill="1" applyBorder="1" applyAlignment="1">
      <alignment horizontal="left" vertical="center" indent="1"/>
    </xf>
    <xf numFmtId="0" fontId="18" fillId="0" borderId="0" xfId="0" applyFont="1" applyAlignment="1">
      <alignment horizontal="right" vertical="center" indent="1"/>
    </xf>
    <xf numFmtId="170" fontId="18" fillId="0" borderId="9" xfId="7" applyNumberFormat="1" applyFont="1" applyBorder="1" applyAlignment="1">
      <alignment horizontal="right" vertical="center" indent="1"/>
    </xf>
    <xf numFmtId="9" fontId="18" fillId="0" borderId="9" xfId="7" applyNumberFormat="1" applyFont="1" applyBorder="1" applyAlignment="1">
      <alignment horizontal="right" vertical="center" indent="1"/>
    </xf>
    <xf numFmtId="0" fontId="10" fillId="0" borderId="0" xfId="0" applyFont="1" applyAlignment="1">
      <alignment horizontal="left" vertical="center" indent="1"/>
    </xf>
    <xf numFmtId="42" fontId="20" fillId="0" borderId="0" xfId="0" applyNumberFormat="1" applyFont="1" applyAlignment="1">
      <alignment horizontal="left" vertical="center" indent="1"/>
    </xf>
    <xf numFmtId="0" fontId="20" fillId="3" borderId="0" xfId="0" applyFont="1" applyFill="1" applyAlignment="1">
      <alignment horizontal="left" vertical="center" indent="1"/>
    </xf>
    <xf numFmtId="0" fontId="0" fillId="3" borderId="0" xfId="0" applyFill="1" applyAlignment="1">
      <alignment horizontal="left" vertical="center" indent="1"/>
    </xf>
    <xf numFmtId="0" fontId="0" fillId="3" borderId="0" xfId="0" applyFill="1" applyAlignment="1">
      <alignment horizontal="center" vertical="center"/>
    </xf>
    <xf numFmtId="42" fontId="20" fillId="3" borderId="0" xfId="0" applyNumberFormat="1" applyFont="1" applyFill="1" applyAlignment="1">
      <alignment horizontal="left" vertical="center" wrapText="1" indent="1"/>
    </xf>
    <xf numFmtId="0" fontId="0" fillId="3" borderId="0" xfId="0" applyFill="1" applyAlignment="1">
      <alignment horizontal="left" vertical="center" wrapText="1" indent="1"/>
    </xf>
    <xf numFmtId="0" fontId="20" fillId="3" borderId="38" xfId="0" applyFont="1" applyFill="1" applyBorder="1" applyAlignment="1">
      <alignment horizontal="left" vertical="center" indent="1"/>
    </xf>
    <xf numFmtId="0" fontId="20" fillId="3" borderId="38" xfId="0" applyFont="1" applyFill="1" applyBorder="1"/>
    <xf numFmtId="0" fontId="0" fillId="0" borderId="0" xfId="0" applyAlignment="1">
      <alignment horizontal="center" vertical="center"/>
    </xf>
    <xf numFmtId="42" fontId="23" fillId="3" borderId="4" xfId="0" applyNumberFormat="1" applyFont="1" applyFill="1" applyBorder="1" applyAlignment="1" applyProtection="1">
      <alignment horizontal="right" vertical="center" indent="1"/>
      <protection locked="0"/>
    </xf>
    <xf numFmtId="42" fontId="23" fillId="3" borderId="24" xfId="0" applyNumberFormat="1" applyFont="1" applyFill="1" applyBorder="1" applyAlignment="1" applyProtection="1">
      <alignment horizontal="right" vertical="center" indent="1"/>
      <protection locked="0"/>
    </xf>
    <xf numFmtId="42" fontId="23" fillId="3" borderId="31" xfId="0" applyNumberFormat="1" applyFont="1" applyFill="1" applyBorder="1" applyAlignment="1" applyProtection="1">
      <alignment horizontal="right" vertical="center" indent="1"/>
      <protection locked="0"/>
    </xf>
    <xf numFmtId="42" fontId="23" fillId="3" borderId="8" xfId="0" applyNumberFormat="1" applyFont="1" applyFill="1" applyBorder="1" applyAlignment="1" applyProtection="1">
      <alignment horizontal="right" vertical="center" indent="1"/>
      <protection locked="0"/>
    </xf>
    <xf numFmtId="42" fontId="23" fillId="3" borderId="17" xfId="0" applyNumberFormat="1" applyFont="1" applyFill="1" applyBorder="1" applyAlignment="1" applyProtection="1">
      <alignment horizontal="right" vertical="center" indent="1"/>
      <protection locked="0"/>
    </xf>
    <xf numFmtId="42" fontId="23" fillId="3" borderId="0" xfId="0" applyNumberFormat="1" applyFont="1" applyFill="1" applyAlignment="1" applyProtection="1">
      <alignment horizontal="right" vertical="center" indent="1"/>
      <protection locked="0"/>
    </xf>
    <xf numFmtId="0" fontId="5" fillId="2" borderId="5" xfId="0" applyFont="1" applyFill="1" applyBorder="1" applyAlignment="1" applyProtection="1">
      <alignment horizontal="left" vertical="center" indent="1"/>
      <protection locked="0"/>
    </xf>
    <xf numFmtId="0" fontId="5" fillId="2" borderId="7" xfId="0" applyFont="1" applyFill="1" applyBorder="1" applyAlignment="1" applyProtection="1">
      <alignment horizontal="left" vertical="center" indent="1"/>
      <protection locked="0"/>
    </xf>
    <xf numFmtId="0" fontId="5" fillId="2" borderId="16" xfId="0" applyFont="1" applyFill="1" applyBorder="1" applyAlignment="1" applyProtection="1">
      <alignment horizontal="left" vertical="center" indent="1"/>
      <protection locked="0"/>
    </xf>
    <xf numFmtId="0" fontId="5" fillId="2" borderId="20" xfId="0" applyFont="1" applyFill="1" applyBorder="1" applyAlignment="1" applyProtection="1">
      <alignment horizontal="left" vertical="center" indent="1"/>
      <protection locked="0"/>
    </xf>
    <xf numFmtId="42" fontId="23" fillId="3" borderId="35" xfId="0" applyNumberFormat="1" applyFont="1" applyFill="1" applyBorder="1" applyAlignment="1" applyProtection="1">
      <alignment horizontal="right" vertical="center" indent="1"/>
      <protection locked="0"/>
    </xf>
    <xf numFmtId="0" fontId="23" fillId="3" borderId="7" xfId="0" applyFont="1" applyFill="1" applyBorder="1" applyAlignment="1" applyProtection="1">
      <alignment horizontal="right" vertical="center" indent="1"/>
      <protection locked="0"/>
    </xf>
    <xf numFmtId="0" fontId="23" fillId="3" borderId="24" xfId="0" applyFont="1" applyFill="1" applyBorder="1" applyAlignment="1" applyProtection="1">
      <alignment horizontal="right" vertical="center" indent="1"/>
      <protection locked="0"/>
    </xf>
    <xf numFmtId="42" fontId="23" fillId="3" borderId="7" xfId="0" applyNumberFormat="1" applyFont="1" applyFill="1" applyBorder="1" applyAlignment="1" applyProtection="1">
      <alignment horizontal="right" vertical="center" indent="1"/>
      <protection locked="0"/>
    </xf>
    <xf numFmtId="0" fontId="23" fillId="3" borderId="20" xfId="0" applyFont="1" applyFill="1" applyBorder="1" applyAlignment="1" applyProtection="1">
      <alignment horizontal="right" vertical="center" indent="1"/>
      <protection locked="0"/>
    </xf>
    <xf numFmtId="0" fontId="5" fillId="2" borderId="19" xfId="0" applyFont="1" applyFill="1" applyBorder="1" applyAlignment="1" applyProtection="1">
      <alignment horizontal="left" vertical="center" indent="1"/>
      <protection locked="0"/>
    </xf>
    <xf numFmtId="42" fontId="23" fillId="3" borderId="34" xfId="0" applyNumberFormat="1" applyFont="1" applyFill="1" applyBorder="1" applyAlignment="1" applyProtection="1">
      <alignment horizontal="right" vertical="center" indent="1"/>
      <protection locked="0"/>
    </xf>
    <xf numFmtId="0" fontId="5" fillId="2" borderId="0" xfId="0" applyFont="1" applyFill="1" applyAlignment="1" applyProtection="1">
      <alignment horizontal="left" vertical="center" indent="1"/>
      <protection locked="0"/>
    </xf>
    <xf numFmtId="1" fontId="5" fillId="2" borderId="20" xfId="0" applyNumberFormat="1" applyFont="1" applyFill="1" applyBorder="1" applyAlignment="1" applyProtection="1">
      <alignment horizontal="left" vertical="center" indent="1"/>
      <protection locked="0"/>
    </xf>
    <xf numFmtId="0" fontId="5" fillId="2" borderId="21" xfId="0" applyFont="1" applyFill="1" applyBorder="1" applyAlignment="1" applyProtection="1">
      <alignment horizontal="left" vertical="center" indent="1"/>
      <protection locked="0"/>
    </xf>
    <xf numFmtId="9" fontId="5" fillId="2" borderId="20" xfId="0" applyNumberFormat="1" applyFont="1" applyFill="1" applyBorder="1" applyAlignment="1" applyProtection="1">
      <alignment horizontal="left" vertical="center" indent="1"/>
      <protection locked="0"/>
    </xf>
    <xf numFmtId="9" fontId="19" fillId="2" borderId="7" xfId="0" applyNumberFormat="1" applyFont="1" applyFill="1" applyBorder="1" applyAlignment="1" applyProtection="1">
      <alignment horizontal="left" vertical="center" indent="1"/>
      <protection locked="0"/>
    </xf>
    <xf numFmtId="42" fontId="23" fillId="3" borderId="21" xfId="0" applyNumberFormat="1" applyFont="1" applyFill="1" applyBorder="1" applyAlignment="1" applyProtection="1">
      <alignment horizontal="right" vertical="center" indent="1"/>
      <protection locked="0"/>
    </xf>
    <xf numFmtId="10" fontId="23" fillId="3" borderId="19" xfId="0" applyNumberFormat="1" applyFont="1" applyFill="1" applyBorder="1" applyAlignment="1" applyProtection="1">
      <alignment horizontal="right" vertical="center" indent="1"/>
      <protection locked="0"/>
    </xf>
    <xf numFmtId="10" fontId="23" fillId="3" borderId="23" xfId="0" applyNumberFormat="1" applyFont="1" applyFill="1" applyBorder="1" applyAlignment="1" applyProtection="1">
      <alignment horizontal="right" vertical="center" indent="1"/>
      <protection locked="0"/>
    </xf>
    <xf numFmtId="0" fontId="5" fillId="2" borderId="22" xfId="0" applyFont="1" applyFill="1" applyBorder="1" applyAlignment="1" applyProtection="1">
      <alignment horizontal="left" vertical="center" indent="1"/>
      <protection locked="0"/>
    </xf>
    <xf numFmtId="42" fontId="23" fillId="3" borderId="22" xfId="0" applyNumberFormat="1" applyFont="1" applyFill="1" applyBorder="1" applyAlignment="1" applyProtection="1">
      <alignment horizontal="right" vertical="center" indent="1"/>
      <protection locked="0"/>
    </xf>
    <xf numFmtId="0" fontId="20" fillId="4" borderId="0" xfId="0" applyFont="1" applyFill="1" applyAlignment="1" applyProtection="1">
      <alignment horizontal="left" vertical="center" indent="1"/>
      <protection locked="0"/>
    </xf>
    <xf numFmtId="0" fontId="5" fillId="2" borderId="18" xfId="0" applyFont="1" applyFill="1" applyBorder="1" applyAlignment="1" applyProtection="1">
      <alignment horizontal="left" vertical="center" indent="1"/>
      <protection locked="0"/>
    </xf>
    <xf numFmtId="42" fontId="23" fillId="3" borderId="18" xfId="0" applyNumberFormat="1" applyFont="1" applyFill="1" applyBorder="1" applyAlignment="1" applyProtection="1">
      <alignment horizontal="right" vertical="center" indent="1"/>
      <protection locked="0"/>
    </xf>
    <xf numFmtId="42" fontId="23" fillId="3" borderId="33" xfId="0" applyNumberFormat="1" applyFont="1" applyFill="1" applyBorder="1" applyAlignment="1" applyProtection="1">
      <alignment horizontal="right" vertical="center" indent="1"/>
      <protection locked="0"/>
    </xf>
    <xf numFmtId="0" fontId="5" fillId="2" borderId="54" xfId="0" applyFont="1" applyFill="1" applyBorder="1" applyAlignment="1" applyProtection="1">
      <alignment horizontal="left" vertical="center" indent="1"/>
      <protection locked="0"/>
    </xf>
    <xf numFmtId="10" fontId="23" fillId="3" borderId="8" xfId="0" applyNumberFormat="1" applyFont="1" applyFill="1" applyBorder="1" applyAlignment="1" applyProtection="1">
      <alignment horizontal="right" vertical="center" indent="1"/>
      <protection locked="0"/>
    </xf>
    <xf numFmtId="42" fontId="23" fillId="3" borderId="32" xfId="0" applyNumberFormat="1" applyFont="1" applyFill="1" applyBorder="1" applyAlignment="1" applyProtection="1">
      <alignment horizontal="right" vertical="center" indent="1"/>
      <protection locked="0"/>
    </xf>
    <xf numFmtId="1" fontId="24" fillId="3" borderId="9" xfId="0" applyNumberFormat="1" applyFont="1" applyFill="1" applyBorder="1" applyAlignment="1" applyProtection="1">
      <alignment horizontal="center" vertical="center"/>
      <protection locked="0"/>
    </xf>
    <xf numFmtId="1" fontId="23" fillId="3" borderId="4" xfId="0" applyNumberFormat="1" applyFont="1" applyFill="1" applyBorder="1" applyAlignment="1" applyProtection="1">
      <alignment horizontal="left" vertical="center" indent="1"/>
      <protection locked="0"/>
    </xf>
    <xf numFmtId="1" fontId="24" fillId="3" borderId="7" xfId="0" applyNumberFormat="1" applyFont="1" applyFill="1" applyBorder="1" applyAlignment="1" applyProtection="1">
      <alignment horizontal="center" vertical="center"/>
      <protection locked="0"/>
    </xf>
    <xf numFmtId="1" fontId="23" fillId="3" borderId="4" xfId="0" applyNumberFormat="1" applyFont="1" applyFill="1" applyBorder="1" applyAlignment="1" applyProtection="1">
      <alignment horizontal="right" vertical="center" indent="1"/>
      <protection locked="0"/>
    </xf>
    <xf numFmtId="10" fontId="23" fillId="3" borderId="34" xfId="0" applyNumberFormat="1" applyFont="1" applyFill="1" applyBorder="1" applyAlignment="1" applyProtection="1">
      <alignment horizontal="right" vertical="center" indent="1"/>
      <protection locked="0"/>
    </xf>
    <xf numFmtId="9" fontId="19" fillId="2" borderId="20" xfId="0" applyNumberFormat="1" applyFont="1" applyFill="1" applyBorder="1" applyAlignment="1" applyProtection="1">
      <alignment horizontal="left" vertical="center" indent="1"/>
      <protection locked="0"/>
    </xf>
    <xf numFmtId="9" fontId="19" fillId="2" borderId="60" xfId="0" applyNumberFormat="1" applyFont="1" applyFill="1" applyBorder="1" applyAlignment="1" applyProtection="1">
      <alignment horizontal="left" vertical="center" indent="1"/>
      <protection locked="0"/>
    </xf>
    <xf numFmtId="9" fontId="19" fillId="2" borderId="61" xfId="0" applyNumberFormat="1" applyFont="1" applyFill="1" applyBorder="1" applyAlignment="1" applyProtection="1">
      <alignment horizontal="left" vertical="center" indent="1"/>
      <protection locked="0"/>
    </xf>
    <xf numFmtId="9" fontId="23" fillId="3" borderId="20" xfId="0" applyNumberFormat="1" applyFont="1" applyFill="1" applyBorder="1" applyAlignment="1" applyProtection="1">
      <alignment horizontal="right" vertical="center" indent="1"/>
      <protection locked="0"/>
    </xf>
    <xf numFmtId="9" fontId="23" fillId="3" borderId="23" xfId="0" applyNumberFormat="1" applyFont="1" applyFill="1" applyBorder="1" applyAlignment="1" applyProtection="1">
      <alignment horizontal="right" vertical="center" indent="1"/>
      <protection locked="0"/>
    </xf>
    <xf numFmtId="9" fontId="19" fillId="2" borderId="0" xfId="0" applyNumberFormat="1" applyFont="1" applyFill="1" applyAlignment="1" applyProtection="1">
      <alignment horizontal="left" vertical="center" indent="1"/>
      <protection locked="0"/>
    </xf>
    <xf numFmtId="9" fontId="19" fillId="2" borderId="67" xfId="0" applyNumberFormat="1" applyFont="1" applyFill="1" applyBorder="1" applyAlignment="1" applyProtection="1">
      <alignment horizontal="left" vertical="center" indent="1"/>
      <protection locked="0"/>
    </xf>
    <xf numFmtId="0" fontId="20" fillId="0" borderId="57" xfId="0" applyFont="1" applyBorder="1" applyAlignment="1" applyProtection="1">
      <alignment horizontal="left" vertical="center" indent="1"/>
      <protection locked="0"/>
    </xf>
    <xf numFmtId="0" fontId="0" fillId="0" borderId="64" xfId="0" applyBorder="1" applyProtection="1">
      <protection locked="0"/>
    </xf>
    <xf numFmtId="9" fontId="19" fillId="2" borderId="56" xfId="0" applyNumberFormat="1" applyFont="1" applyFill="1" applyBorder="1" applyAlignment="1" applyProtection="1">
      <alignment horizontal="left" vertical="center" indent="1"/>
      <protection locked="0"/>
    </xf>
    <xf numFmtId="0" fontId="34" fillId="3" borderId="38" xfId="0" applyFont="1" applyFill="1" applyBorder="1" applyAlignment="1">
      <alignment horizontal="center" vertical="center"/>
    </xf>
    <xf numFmtId="37" fontId="5" fillId="2" borderId="4" xfId="0" applyNumberFormat="1" applyFont="1" applyFill="1" applyBorder="1" applyAlignment="1">
      <alignment horizontal="right" vertical="center" indent="1"/>
    </xf>
    <xf numFmtId="37" fontId="5" fillId="2" borderId="8" xfId="0" applyNumberFormat="1" applyFont="1" applyFill="1" applyBorder="1" applyAlignment="1">
      <alignment horizontal="right" vertical="center" indent="1"/>
    </xf>
    <xf numFmtId="1" fontId="5" fillId="0" borderId="0" xfId="0" applyNumberFormat="1" applyFont="1" applyAlignment="1">
      <alignment horizontal="right" vertical="center" indent="1"/>
    </xf>
    <xf numFmtId="9" fontId="18" fillId="2" borderId="11" xfId="0" applyNumberFormat="1" applyFont="1" applyFill="1" applyBorder="1" applyAlignment="1">
      <alignment horizontal="right" vertical="center" indent="1"/>
    </xf>
    <xf numFmtId="1" fontId="18" fillId="0" borderId="9" xfId="0" applyNumberFormat="1" applyFont="1" applyBorder="1" applyAlignment="1">
      <alignment horizontal="right" vertical="center" indent="1"/>
    </xf>
    <xf numFmtId="0" fontId="35" fillId="3" borderId="0" xfId="0" applyFont="1" applyFill="1" applyAlignment="1">
      <alignment horizontal="left" vertical="center"/>
    </xf>
    <xf numFmtId="42" fontId="5" fillId="0" borderId="21" xfId="0" applyNumberFormat="1" applyFont="1" applyBorder="1" applyAlignment="1">
      <alignment horizontal="right" vertical="center" indent="1"/>
    </xf>
    <xf numFmtId="42" fontId="5" fillId="0" borderId="54" xfId="0" applyNumberFormat="1" applyFont="1" applyBorder="1" applyAlignment="1">
      <alignment horizontal="right" vertical="center" indent="1"/>
    </xf>
    <xf numFmtId="10" fontId="18" fillId="2" borderId="20" xfId="0" applyNumberFormat="1" applyFont="1" applyFill="1" applyBorder="1" applyAlignment="1">
      <alignment horizontal="right" vertical="center" indent="1"/>
    </xf>
    <xf numFmtId="0" fontId="10" fillId="2" borderId="65" xfId="0" applyFont="1" applyFill="1" applyBorder="1" applyAlignment="1">
      <alignment horizontal="left" vertical="center" indent="1"/>
    </xf>
    <xf numFmtId="0" fontId="0" fillId="0" borderId="74" xfId="0" applyBorder="1"/>
    <xf numFmtId="0" fontId="19" fillId="2" borderId="65" xfId="8" applyFont="1" applyFill="1" applyBorder="1" applyAlignment="1">
      <alignment horizontal="center" vertical="center"/>
    </xf>
    <xf numFmtId="42" fontId="15" fillId="0" borderId="65" xfId="0" applyNumberFormat="1" applyFont="1" applyBorder="1" applyAlignment="1">
      <alignment horizontal="right" vertical="center"/>
    </xf>
    <xf numFmtId="42" fontId="15" fillId="0" borderId="21" xfId="0" applyNumberFormat="1" applyFont="1" applyBorder="1" applyAlignment="1">
      <alignment horizontal="right" vertical="center"/>
    </xf>
    <xf numFmtId="42" fontId="28" fillId="3" borderId="21" xfId="7" applyNumberFormat="1" applyFont="1" applyFill="1" applyBorder="1" applyAlignment="1" applyProtection="1">
      <alignment horizontal="right" vertical="center"/>
      <protection locked="0"/>
    </xf>
    <xf numFmtId="42" fontId="5" fillId="2" borderId="9" xfId="0" applyNumberFormat="1" applyFont="1" applyFill="1" applyBorder="1" applyAlignment="1">
      <alignment horizontal="right" vertical="center" indent="1"/>
    </xf>
    <xf numFmtId="0" fontId="19" fillId="2" borderId="54" xfId="0" applyFont="1" applyFill="1" applyBorder="1" applyAlignment="1">
      <alignment horizontal="left" vertical="center" indent="1"/>
    </xf>
    <xf numFmtId="0" fontId="0" fillId="0" borderId="0" xfId="0" applyAlignment="1">
      <alignment horizontal="left" vertical="center" wrapText="1" indent="1"/>
    </xf>
    <xf numFmtId="0" fontId="0" fillId="0" borderId="69" xfId="0" applyBorder="1"/>
    <xf numFmtId="0" fontId="0" fillId="0" borderId="0" xfId="0" applyAlignment="1">
      <alignment horizontal="left" vertical="center" indent="1"/>
    </xf>
    <xf numFmtId="0" fontId="20" fillId="3" borderId="39" xfId="0" applyFont="1" applyFill="1" applyBorder="1" applyAlignment="1">
      <alignment horizontal="left" vertical="center" indent="1"/>
    </xf>
    <xf numFmtId="1" fontId="25" fillId="3" borderId="38" xfId="0" applyNumberFormat="1" applyFont="1" applyFill="1" applyBorder="1" applyAlignment="1" applyProtection="1">
      <alignment horizontal="center" vertical="center"/>
      <protection locked="0"/>
    </xf>
    <xf numFmtId="0" fontId="34" fillId="3" borderId="38" xfId="0" applyFont="1" applyFill="1" applyBorder="1" applyAlignment="1" applyProtection="1">
      <alignment horizontal="center" vertical="center"/>
      <protection locked="0"/>
    </xf>
    <xf numFmtId="42" fontId="23" fillId="3" borderId="27" xfId="0" applyNumberFormat="1" applyFont="1" applyFill="1" applyBorder="1" applyAlignment="1" applyProtection="1">
      <alignment horizontal="right" vertical="center" indent="1"/>
      <protection locked="0"/>
    </xf>
    <xf numFmtId="9" fontId="23" fillId="3" borderId="28" xfId="6" applyFont="1" applyFill="1" applyBorder="1" applyAlignment="1" applyProtection="1">
      <alignment horizontal="right" vertical="center" indent="1"/>
      <protection locked="0"/>
    </xf>
    <xf numFmtId="9" fontId="23" fillId="3" borderId="20" xfId="6" applyFont="1" applyFill="1" applyBorder="1" applyAlignment="1" applyProtection="1">
      <alignment horizontal="right" vertical="center" indent="1"/>
      <protection locked="0"/>
    </xf>
    <xf numFmtId="42" fontId="23" fillId="3" borderId="28" xfId="0" applyNumberFormat="1" applyFont="1" applyFill="1" applyBorder="1" applyAlignment="1" applyProtection="1">
      <alignment horizontal="right" vertical="center" indent="1"/>
      <protection locked="0"/>
    </xf>
    <xf numFmtId="49" fontId="19" fillId="0" borderId="21" xfId="0" applyNumberFormat="1" applyFont="1" applyBorder="1" applyAlignment="1" applyProtection="1">
      <alignment horizontal="left" vertical="center" indent="1"/>
      <protection locked="0"/>
    </xf>
    <xf numFmtId="42" fontId="23" fillId="3" borderId="29" xfId="0" applyNumberFormat="1" applyFont="1" applyFill="1" applyBorder="1" applyAlignment="1" applyProtection="1">
      <alignment horizontal="right" vertical="center" indent="1"/>
      <protection locked="0"/>
    </xf>
    <xf numFmtId="42" fontId="5" fillId="2" borderId="23" xfId="0" applyNumberFormat="1" applyFont="1" applyFill="1" applyBorder="1" applyAlignment="1" applyProtection="1">
      <alignment horizontal="right" vertical="center" indent="1"/>
      <protection locked="0"/>
    </xf>
    <xf numFmtId="42" fontId="18" fillId="0" borderId="9" xfId="0" applyNumberFormat="1" applyFont="1" applyBorder="1" applyAlignment="1">
      <alignment horizontal="right" vertical="center" indent="1"/>
    </xf>
    <xf numFmtId="42" fontId="5" fillId="2" borderId="75" xfId="0" applyNumberFormat="1" applyFont="1" applyFill="1" applyBorder="1" applyAlignment="1">
      <alignment horizontal="right" vertical="center" indent="1"/>
    </xf>
    <xf numFmtId="0" fontId="36" fillId="3" borderId="0" xfId="0" applyFont="1" applyFill="1" applyAlignment="1">
      <alignment horizontal="left" vertical="center"/>
    </xf>
    <xf numFmtId="0" fontId="19" fillId="3" borderId="0" xfId="0" applyFont="1" applyFill="1" applyAlignment="1">
      <alignment horizontal="left" vertical="center"/>
    </xf>
    <xf numFmtId="0" fontId="5" fillId="2" borderId="76" xfId="0" applyFont="1" applyFill="1" applyBorder="1" applyAlignment="1">
      <alignment horizontal="left" vertical="center" indent="1"/>
    </xf>
    <xf numFmtId="0" fontId="5" fillId="2" borderId="77" xfId="0" applyFont="1" applyFill="1" applyBorder="1" applyAlignment="1">
      <alignment horizontal="left" vertical="center" indent="1"/>
    </xf>
    <xf numFmtId="10" fontId="5" fillId="2" borderId="8" xfId="0" applyNumberFormat="1" applyFont="1" applyFill="1" applyBorder="1" applyAlignment="1">
      <alignment horizontal="right" vertical="center" indent="1"/>
    </xf>
    <xf numFmtId="10" fontId="18" fillId="2" borderId="10" xfId="0" applyNumberFormat="1" applyFont="1" applyFill="1" applyBorder="1" applyAlignment="1">
      <alignment horizontal="right" vertical="center" indent="1"/>
    </xf>
    <xf numFmtId="0" fontId="19" fillId="2" borderId="0" xfId="0" applyFont="1" applyFill="1" applyAlignment="1" applyProtection="1">
      <alignment horizontal="left" vertical="center" wrapText="1" indent="1"/>
      <protection locked="0"/>
    </xf>
    <xf numFmtId="9" fontId="23" fillId="3" borderId="34" xfId="0" applyNumberFormat="1" applyFont="1" applyFill="1" applyBorder="1" applyAlignment="1" applyProtection="1">
      <alignment horizontal="right" vertical="center" indent="1"/>
      <protection locked="0"/>
    </xf>
    <xf numFmtId="165" fontId="18" fillId="2" borderId="10" xfId="0" applyNumberFormat="1" applyFont="1" applyFill="1" applyBorder="1" applyAlignment="1">
      <alignment horizontal="right" vertical="center" wrapText="1" indent="1"/>
    </xf>
    <xf numFmtId="0" fontId="40" fillId="0" borderId="0" xfId="0" applyFont="1" applyAlignment="1">
      <alignment horizontal="left" vertical="center" indent="1"/>
    </xf>
    <xf numFmtId="165" fontId="23" fillId="3" borderId="8" xfId="0" applyNumberFormat="1" applyFont="1" applyFill="1" applyBorder="1" applyAlignment="1">
      <alignment horizontal="right" vertical="center"/>
    </xf>
    <xf numFmtId="0" fontId="19" fillId="2" borderId="68" xfId="0" applyFont="1" applyFill="1" applyBorder="1" applyAlignment="1">
      <alignment horizontal="left" vertical="center" indent="1"/>
    </xf>
    <xf numFmtId="0" fontId="0" fillId="0" borderId="68" xfId="0" applyBorder="1" applyAlignment="1">
      <alignment horizontal="left" vertical="center" indent="1"/>
    </xf>
    <xf numFmtId="0" fontId="19" fillId="2" borderId="70" xfId="0" applyFont="1" applyFill="1" applyBorder="1" applyAlignment="1">
      <alignment horizontal="left" vertical="center" indent="1"/>
    </xf>
    <xf numFmtId="0" fontId="0" fillId="0" borderId="70" xfId="0" applyBorder="1" applyAlignment="1">
      <alignment horizontal="left" vertical="center" indent="1"/>
    </xf>
    <xf numFmtId="0" fontId="5" fillId="2" borderId="69" xfId="0" applyFont="1" applyFill="1" applyBorder="1" applyAlignment="1">
      <alignment horizontal="left" vertical="center" wrapText="1" indent="1"/>
    </xf>
    <xf numFmtId="0" fontId="0" fillId="0" borderId="20" xfId="0" applyBorder="1" applyAlignment="1">
      <alignment horizontal="left" vertical="center" wrapText="1" indent="1"/>
    </xf>
    <xf numFmtId="0" fontId="19" fillId="2" borderId="69" xfId="8" applyFont="1" applyFill="1" applyBorder="1" applyAlignment="1">
      <alignment horizontal="left" vertical="center" wrapText="1" indent="1"/>
    </xf>
    <xf numFmtId="0" fontId="19" fillId="0" borderId="20" xfId="8" applyFont="1" applyBorder="1" applyAlignment="1">
      <alignment horizontal="left" vertical="center" wrapText="1" indent="1"/>
    </xf>
    <xf numFmtId="0" fontId="19" fillId="2" borderId="69" xfId="0" applyFont="1" applyFill="1" applyBorder="1" applyAlignment="1">
      <alignment horizontal="left" vertical="center" wrapText="1" indent="1"/>
    </xf>
    <xf numFmtId="0" fontId="19" fillId="2" borderId="69" xfId="0" applyFont="1" applyFill="1" applyBorder="1" applyAlignment="1">
      <alignment horizontal="left" vertical="center" indent="1"/>
    </xf>
    <xf numFmtId="0" fontId="0" fillId="0" borderId="69" xfId="0" applyBorder="1" applyAlignment="1">
      <alignment horizontal="left" vertical="center" indent="1"/>
    </xf>
    <xf numFmtId="0" fontId="19" fillId="2" borderId="68" xfId="0" applyFont="1" applyFill="1" applyBorder="1" applyAlignment="1">
      <alignment horizontal="left" vertical="center" wrapText="1" indent="1"/>
    </xf>
    <xf numFmtId="0" fontId="0" fillId="0" borderId="68" xfId="0" applyBorder="1" applyAlignment="1">
      <alignment horizontal="left" vertical="center" wrapText="1" indent="1"/>
    </xf>
    <xf numFmtId="49" fontId="38" fillId="3" borderId="38" xfId="0" applyNumberFormat="1" applyFont="1" applyFill="1" applyBorder="1" applyAlignment="1" applyProtection="1">
      <alignment horizontal="left" vertical="center" indent="1"/>
      <protection locked="0"/>
    </xf>
    <xf numFmtId="0" fontId="0" fillId="0" borderId="38" xfId="0" applyBorder="1" applyAlignment="1">
      <alignment horizontal="left" vertical="center" indent="1"/>
    </xf>
    <xf numFmtId="0" fontId="20" fillId="3" borderId="0" xfId="0" applyFont="1" applyFill="1" applyAlignment="1">
      <alignment horizontal="left" vertical="center" indent="1"/>
    </xf>
    <xf numFmtId="0" fontId="20" fillId="0" borderId="0" xfId="0" applyFont="1" applyAlignment="1">
      <alignment horizontal="left" vertical="center" indent="1"/>
    </xf>
    <xf numFmtId="1" fontId="25" fillId="3" borderId="72" xfId="0" applyNumberFormat="1" applyFont="1" applyFill="1" applyBorder="1" applyAlignment="1" applyProtection="1">
      <alignment horizontal="center" vertical="center"/>
      <protection locked="0"/>
    </xf>
    <xf numFmtId="0" fontId="0" fillId="3" borderId="73" xfId="0" applyFill="1" applyBorder="1" applyAlignment="1" applyProtection="1">
      <alignment horizontal="center" vertical="center"/>
      <protection locked="0"/>
    </xf>
    <xf numFmtId="42" fontId="25" fillId="3" borderId="39" xfId="0" applyNumberFormat="1" applyFont="1" applyFill="1" applyBorder="1" applyAlignment="1" applyProtection="1">
      <alignment horizontal="right" vertical="center"/>
      <protection locked="0"/>
    </xf>
    <xf numFmtId="42" fontId="0" fillId="0" borderId="39" xfId="0" applyNumberFormat="1" applyBorder="1" applyAlignment="1" applyProtection="1">
      <alignment horizontal="right" vertical="center"/>
      <protection locked="0"/>
    </xf>
    <xf numFmtId="42" fontId="25" fillId="3" borderId="38" xfId="0" applyNumberFormat="1" applyFont="1" applyFill="1" applyBorder="1" applyAlignment="1" applyProtection="1">
      <alignment horizontal="right" vertical="center"/>
      <protection locked="0"/>
    </xf>
    <xf numFmtId="42" fontId="0" fillId="0" borderId="38" xfId="0" applyNumberFormat="1" applyBorder="1" applyAlignment="1" applyProtection="1">
      <alignment horizontal="right" vertical="center"/>
      <protection locked="0"/>
    </xf>
    <xf numFmtId="49" fontId="20" fillId="0" borderId="0" xfId="0" applyNumberFormat="1" applyFont="1" applyAlignment="1">
      <alignment horizontal="left" vertical="center" wrapText="1" indent="1"/>
    </xf>
    <xf numFmtId="49" fontId="0" fillId="0" borderId="0" xfId="0" applyNumberFormat="1" applyAlignment="1">
      <alignment horizontal="left" vertical="center" wrapText="1" indent="1"/>
    </xf>
    <xf numFmtId="0" fontId="19" fillId="2" borderId="65" xfId="8" applyFont="1" applyFill="1" applyBorder="1" applyAlignment="1">
      <alignment horizontal="center" vertical="center"/>
    </xf>
    <xf numFmtId="0" fontId="0" fillId="0" borderId="65" xfId="0" applyBorder="1" applyAlignment="1">
      <alignment horizontal="center" vertical="center"/>
    </xf>
    <xf numFmtId="49" fontId="20" fillId="4" borderId="0" xfId="0" applyNumberFormat="1" applyFont="1" applyFill="1" applyAlignment="1">
      <alignment horizontal="left" vertical="center" wrapText="1" indent="1"/>
    </xf>
    <xf numFmtId="0" fontId="0" fillId="0" borderId="0" xfId="0" applyAlignment="1">
      <alignment horizontal="left" vertical="center" wrapText="1" indent="1"/>
    </xf>
    <xf numFmtId="0" fontId="19" fillId="4" borderId="0" xfId="0" applyFont="1" applyFill="1" applyAlignment="1">
      <alignment horizontal="left" vertical="center" indent="1"/>
    </xf>
    <xf numFmtId="0" fontId="15" fillId="2" borderId="66" xfId="0" applyFont="1" applyFill="1" applyBorder="1" applyAlignment="1">
      <alignment horizontal="center" vertical="center"/>
    </xf>
    <xf numFmtId="49" fontId="19" fillId="4" borderId="0" xfId="0" applyNumberFormat="1" applyFont="1" applyFill="1" applyAlignment="1">
      <alignment horizontal="left" vertical="center" wrapText="1" indent="1"/>
    </xf>
    <xf numFmtId="0" fontId="0" fillId="0" borderId="0" xfId="0" applyAlignment="1">
      <alignment horizontal="left" vertical="center" wrapText="1"/>
    </xf>
    <xf numFmtId="0" fontId="19" fillId="2" borderId="0" xfId="0" applyFont="1" applyFill="1" applyAlignment="1" applyProtection="1">
      <alignment horizontal="left" vertical="center" wrapText="1" indent="1"/>
      <protection locked="0"/>
    </xf>
    <xf numFmtId="0" fontId="0" fillId="0" borderId="65" xfId="0" applyBorder="1" applyAlignment="1" applyProtection="1">
      <alignment horizontal="left" vertical="center" wrapText="1" indent="1"/>
      <protection locked="0"/>
    </xf>
    <xf numFmtId="0" fontId="31" fillId="0" borderId="6" xfId="0" applyFont="1" applyBorder="1" applyAlignment="1">
      <alignment horizontal="center" vertical="center" wrapText="1"/>
    </xf>
    <xf numFmtId="0" fontId="32" fillId="0" borderId="6" xfId="0" applyFont="1" applyBorder="1" applyAlignment="1">
      <alignment horizontal="center" vertical="center" wrapText="1"/>
    </xf>
    <xf numFmtId="0" fontId="18" fillId="0" borderId="0" xfId="0" applyFont="1" applyAlignment="1">
      <alignment horizontal="right" vertical="center" wrapText="1" indent="1"/>
    </xf>
    <xf numFmtId="0" fontId="0" fillId="0" borderId="9" xfId="0" applyBorder="1" applyAlignment="1">
      <alignment horizontal="right" vertical="center" wrapText="1" indent="1"/>
    </xf>
    <xf numFmtId="0" fontId="18" fillId="2" borderId="51" xfId="0" applyFont="1" applyFill="1"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18" fillId="0" borderId="9" xfId="0" applyFont="1" applyBorder="1" applyAlignment="1">
      <alignment horizontal="center" vertical="center"/>
    </xf>
    <xf numFmtId="165" fontId="23" fillId="3" borderId="10" xfId="0" applyNumberFormat="1" applyFont="1" applyFill="1" applyBorder="1" applyAlignment="1">
      <alignment horizontal="right" vertical="center" indent="1"/>
    </xf>
    <xf numFmtId="165" fontId="18" fillId="0" borderId="9" xfId="0" applyNumberFormat="1" applyFont="1" applyBorder="1" applyAlignment="1" applyProtection="1">
      <alignment horizontal="right" vertical="center" indent="1"/>
    </xf>
  </cellXfs>
  <cellStyles count="9">
    <cellStyle name="Currency" xfId="7" builtinId="4"/>
    <cellStyle name="Date" xfId="5" xr:uid="{FE33F3B2-B201-45AD-A81E-81BCB12ED9D2}"/>
    <cellStyle name="Heading 1" xfId="1" builtinId="16" customBuiltin="1"/>
    <cellStyle name="Heading 2" xfId="2" builtinId="17" customBuiltin="1"/>
    <cellStyle name="Heading 3" xfId="3" builtinId="18" customBuiltin="1"/>
    <cellStyle name="Hyperlink" xfId="8" builtinId="8"/>
    <cellStyle name="Normal" xfId="0" builtinId="0" customBuiltin="1"/>
    <cellStyle name="Percent" xfId="6" builtinId="5"/>
    <cellStyle name="Phone" xfId="4" xr:uid="{70E46558-98AC-446F-861A-54F270CBD905}"/>
  </cellStyles>
  <dxfs count="65">
    <dxf>
      <font>
        <color theme="1"/>
      </font>
      <fill>
        <patternFill>
          <bgColor theme="9" tint="0.79998168889431442"/>
        </patternFill>
      </fill>
    </dxf>
    <dxf>
      <font>
        <color theme="1"/>
      </font>
      <fill>
        <patternFill>
          <bgColor theme="9" tint="0.79998168889431442"/>
        </patternFill>
      </fill>
    </dxf>
    <dxf>
      <font>
        <color theme="1"/>
      </font>
      <fill>
        <patternFill>
          <bgColor theme="9" tint="0.79998168889431442"/>
        </patternFill>
      </fill>
    </dxf>
    <dxf>
      <font>
        <color theme="1"/>
      </font>
      <fill>
        <patternFill>
          <bgColor theme="9" tint="0.79998168889431442"/>
        </patternFill>
      </fill>
    </dxf>
    <dxf>
      <font>
        <color theme="1"/>
      </font>
      <fill>
        <patternFill>
          <bgColor theme="9" tint="0.79998168889431442"/>
        </patternFill>
      </fill>
    </dxf>
    <dxf>
      <font>
        <color theme="1"/>
      </font>
      <fill>
        <patternFill>
          <bgColor theme="9" tint="0.79998168889431442"/>
        </patternFill>
      </fill>
    </dxf>
    <dxf>
      <font>
        <color theme="0"/>
      </font>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color theme="0"/>
      </font>
    </dxf>
    <dxf>
      <font>
        <strike val="0"/>
      </font>
      <border>
        <top style="thin">
          <color theme="0" tint="-0.14996795556505021"/>
        </top>
        <bottom style="thin">
          <color theme="0" tint="-0.14996795556505021"/>
        </bottom>
        <vertical/>
        <horizontal/>
      </border>
    </dxf>
    <dxf>
      <fill>
        <patternFill patternType="lightUp"/>
      </fill>
    </dxf>
    <dxf>
      <fill>
        <patternFill patternType="lightUp"/>
      </fill>
    </dxf>
    <dxf>
      <fill>
        <patternFill patternType="lightUp"/>
      </fill>
    </dxf>
    <dxf>
      <fill>
        <patternFill patternType="lightUp"/>
      </fill>
    </dxf>
    <dxf>
      <font>
        <color theme="0" tint="-4.9989318521683403E-2"/>
      </font>
    </dxf>
    <dxf>
      <fill>
        <patternFill patternType="lightUp"/>
      </fill>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color theme="0"/>
      </font>
      <fill>
        <patternFill>
          <bgColor theme="0"/>
        </patternFill>
      </fill>
      <border>
        <top/>
        <bottom/>
        <vertical/>
        <horizontal/>
      </border>
    </dxf>
    <dxf>
      <font>
        <color theme="0"/>
      </font>
    </dxf>
    <dxf>
      <font>
        <strike val="0"/>
      </font>
      <border>
        <top style="thin">
          <color theme="0" tint="-0.14996795556505021"/>
        </top>
        <bottom style="thin">
          <color theme="0" tint="-0.14996795556505021"/>
        </bottom>
        <vertical/>
        <horizontal/>
      </border>
    </dxf>
    <dxf>
      <font>
        <strike val="0"/>
      </font>
      <border>
        <top style="thin">
          <color theme="0" tint="-0.14996795556505021"/>
        </top>
        <bottom style="thin">
          <color theme="0" tint="-0.14996795556505021"/>
        </bottom>
        <vertical/>
        <horizontal/>
      </border>
    </dxf>
    <dxf>
      <font>
        <color theme="0"/>
      </font>
      <fill>
        <patternFill>
          <bgColor theme="0"/>
        </patternFill>
      </fill>
      <border>
        <top/>
        <bottom/>
        <vertical/>
        <horizontal/>
      </border>
    </dxf>
    <dxf>
      <font>
        <color theme="0"/>
      </font>
    </dxf>
    <dxf>
      <font>
        <color theme="0"/>
      </font>
    </dxf>
    <dxf>
      <font>
        <color theme="2"/>
      </font>
      <fill>
        <patternFill patternType="lightUp"/>
      </fill>
    </dxf>
    <dxf>
      <font>
        <color theme="0"/>
      </font>
    </dxf>
    <dxf>
      <fill>
        <patternFill patternType="lightUp"/>
      </fill>
    </dxf>
    <dxf>
      <font>
        <strike val="0"/>
      </font>
      <border>
        <top style="thin">
          <color theme="0" tint="-0.14996795556505021"/>
        </top>
        <bottom style="thin">
          <color theme="0" tint="-0.14996795556505021"/>
        </bottom>
        <vertical/>
        <horizontal/>
      </border>
    </dxf>
    <dxf>
      <font>
        <color rgb="FF0070C0"/>
      </font>
      <fill>
        <patternFill patternType="lightUp">
          <fgColor auto="1"/>
          <bgColor auto="1"/>
        </patternFill>
      </fill>
    </dxf>
    <dxf>
      <font>
        <strike val="0"/>
      </font>
      <border>
        <top style="thin">
          <color theme="0" tint="-0.14996795556505021"/>
        </top>
        <bottom style="thin">
          <color theme="0" tint="-0.14996795556505021"/>
        </bottom>
        <vertical/>
        <horizontal/>
      </border>
    </dxf>
    <dxf>
      <font>
        <color theme="0"/>
      </font>
    </dxf>
    <dxf>
      <font>
        <strike val="0"/>
      </font>
      <border>
        <top style="thin">
          <color theme="0" tint="-0.14996795556505021"/>
        </top>
        <bottom style="thin">
          <color theme="0" tint="-0.14996795556505021"/>
        </bottom>
        <vertical/>
        <horizontal/>
      </border>
    </dxf>
    <dxf>
      <border>
        <top style="thin">
          <color theme="0"/>
        </top>
        <bottom style="thin">
          <color theme="0"/>
        </bottom>
        <vertical/>
        <horizontal/>
      </border>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color theme="1"/>
      </font>
    </dxf>
    <dxf>
      <font>
        <b val="0"/>
        <i val="0"/>
        <color theme="1"/>
      </font>
    </dxf>
    <dxf>
      <font>
        <b/>
        <color theme="1"/>
      </font>
      <border>
        <top style="double">
          <color theme="4"/>
        </top>
      </border>
    </dxf>
    <dxf>
      <font>
        <b/>
        <color theme="0"/>
      </font>
      <fill>
        <patternFill patternType="solid">
          <fgColor theme="4"/>
          <bgColor theme="4" tint="-0.499984740745262"/>
        </patternFill>
      </fill>
    </dxf>
    <dxf>
      <font>
        <color theme="1"/>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
      <fill>
        <patternFill patternType="solid">
          <fgColor theme="2" tint="0.59996337778862885"/>
          <bgColor theme="0" tint="-4.9989318521683403E-2"/>
        </patternFill>
      </fill>
    </dxf>
    <dxf>
      <fill>
        <patternFill patternType="solid">
          <fgColor theme="2" tint="0.79995117038483843"/>
          <bgColor theme="2"/>
        </patternFill>
      </fill>
    </dxf>
    <dxf>
      <border>
        <top style="thin">
          <color theme="6" tint="-0.499984740745262"/>
        </top>
      </border>
    </dxf>
    <dxf>
      <font>
        <color theme="2" tint="0.79995117038483843"/>
      </font>
      <fill>
        <patternFill>
          <bgColor theme="6" tint="-0.499984740745262"/>
        </patternFill>
      </fill>
      <border>
        <top style="thick">
          <color theme="0"/>
        </top>
      </border>
    </dxf>
    <dxf>
      <font>
        <b val="0"/>
        <i val="0"/>
        <color auto="1"/>
      </font>
      <fill>
        <patternFill patternType="none">
          <bgColor auto="1"/>
        </patternFill>
      </fill>
      <border diagonalUp="0" diagonalDown="0">
        <left/>
        <right/>
        <top/>
        <bottom style="thin">
          <color theme="6" tint="-0.499984740745262"/>
        </bottom>
        <vertical/>
        <horizontal/>
      </border>
    </dxf>
  </dxfs>
  <tableStyles count="2" defaultTableStyle="TableStyleMedium2" defaultPivotStyle="PivotStyleLight16">
    <tableStyle name="Address Book" pivot="0" count="5" xr9:uid="{00000000-0011-0000-FFFF-FFFF00000000}">
      <tableStyleElement type="wholeTable" dxfId="64"/>
      <tableStyleElement type="headerRow" dxfId="63"/>
      <tableStyleElement type="totalRow" dxfId="62"/>
      <tableStyleElement type="firstRowStripe" dxfId="61"/>
      <tableStyleElement type="secondRowStripe" dxfId="60"/>
    </tableStyle>
    <tableStyle name="Personal monthly budget" pivot="0" count="7" xr9:uid="{DF2684C2-C435-47FA-9646-E632C3AE8948}">
      <tableStyleElement type="wholeTable" dxfId="59"/>
      <tableStyleElement type="headerRow" dxfId="58"/>
      <tableStyleElement type="totalRow" dxfId="57"/>
      <tableStyleElement type="firstColumn" dxfId="56"/>
      <tableStyleElement type="lastColumn" dxfId="55"/>
      <tableStyleElement type="firstRowStripe" dxfId="54"/>
      <tableStyleElement type="firstColumnStripe" dxfId="53"/>
    </tableStyle>
  </tableStyles>
  <colors>
    <mruColors>
      <color rgb="FFFF3300"/>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22/10/relationships/richValueRel" Target="richData/richValueRel.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microsoft.com/office/2017/10/relationships/person" Target="persons/person.xml"/><Relationship Id="rId30" Type="http://schemas.openxmlformats.org/officeDocument/2006/relationships/customXml" Target="../customXml/item2.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6.6638318370011287E-2"/>
          <c:y val="3.5614987781699699E-2"/>
          <c:w val="0.75902855768526944"/>
          <c:h val="0.88416309168250518"/>
        </c:manualLayout>
      </c:layout>
      <c:areaChart>
        <c:grouping val="stacked"/>
        <c:varyColors val="0"/>
        <c:ser>
          <c:idx val="4"/>
          <c:order val="7"/>
          <c:tx>
            <c:strRef>
              <c:f>Charts!$A$14</c:f>
              <c:strCache>
                <c:ptCount val="1"/>
                <c:pt idx="0">
                  <c:v>Legacy goal</c:v>
                </c:pt>
              </c:strCache>
            </c:strRef>
          </c:tx>
          <c:spPr>
            <a:solidFill>
              <a:schemeClr val="accent3">
                <a:lumMod val="20000"/>
                <a:lumOff val="80000"/>
                <a:alpha val="50000"/>
              </a:schemeClr>
            </a:solidFill>
            <a:ln w="9525" cap="rnd">
              <a:solidFill>
                <a:schemeClr val="bg1">
                  <a:lumMod val="65000"/>
                </a:schemeClr>
              </a:solidFill>
              <a:round/>
            </a:ln>
            <a:effectLst/>
          </c:spPr>
          <c:val>
            <c:numRef>
              <c:f>Charts!$B$14:$AJ$14</c:f>
              <c:numCache>
                <c:formatCode>_("$"* #,##0_);_("$"* \(#,##0\);_("$"* "-"_);_(@_)</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0-7539-4B02-8F21-C3A8A7C6535A}"/>
            </c:ext>
          </c:extLst>
        </c:ser>
        <c:ser>
          <c:idx val="8"/>
          <c:order val="8"/>
          <c:tx>
            <c:strRef>
              <c:f>Charts!$A$13</c:f>
              <c:strCache>
                <c:ptCount val="1"/>
                <c:pt idx="0">
                  <c:v>Savings</c:v>
                </c:pt>
              </c:strCache>
            </c:strRef>
          </c:tx>
          <c:spPr>
            <a:solidFill>
              <a:schemeClr val="accent4">
                <a:lumMod val="20000"/>
                <a:lumOff val="80000"/>
                <a:alpha val="50000"/>
              </a:schemeClr>
            </a:solidFill>
            <a:ln w="9525">
              <a:solidFill>
                <a:schemeClr val="bg1">
                  <a:lumMod val="75000"/>
                </a:schemeClr>
              </a:solidFill>
            </a:ln>
            <a:effectLst/>
          </c:spPr>
          <c:cat>
            <c:strRef>
              <c:f>Charts!$B$3:$AJ$3</c:f>
              <c:strCache>
                <c:ptCount val="35"/>
                <c:pt idx="0">
                  <c:v>60/60</c:v>
                </c:pt>
                <c:pt idx="1">
                  <c:v>61/61</c:v>
                </c:pt>
                <c:pt idx="2">
                  <c:v>62/62</c:v>
                </c:pt>
                <c:pt idx="3">
                  <c:v>63/63</c:v>
                </c:pt>
                <c:pt idx="4">
                  <c:v>64/64</c:v>
                </c:pt>
                <c:pt idx="5">
                  <c:v>65/65</c:v>
                </c:pt>
                <c:pt idx="6">
                  <c:v>66/66</c:v>
                </c:pt>
                <c:pt idx="7">
                  <c:v>67/67</c:v>
                </c:pt>
                <c:pt idx="8">
                  <c:v>68/68</c:v>
                </c:pt>
                <c:pt idx="9">
                  <c:v>69/69</c:v>
                </c:pt>
                <c:pt idx="10">
                  <c:v>70/70</c:v>
                </c:pt>
                <c:pt idx="11">
                  <c:v>71/71</c:v>
                </c:pt>
                <c:pt idx="12">
                  <c:v>72/72</c:v>
                </c:pt>
                <c:pt idx="13">
                  <c:v>73/73</c:v>
                </c:pt>
                <c:pt idx="14">
                  <c:v>74/74</c:v>
                </c:pt>
                <c:pt idx="15">
                  <c:v>75/75</c:v>
                </c:pt>
                <c:pt idx="16">
                  <c:v>76/76</c:v>
                </c:pt>
                <c:pt idx="17">
                  <c:v>77/77</c:v>
                </c:pt>
                <c:pt idx="18">
                  <c:v>78/78</c:v>
                </c:pt>
                <c:pt idx="19">
                  <c:v>79/79</c:v>
                </c:pt>
                <c:pt idx="20">
                  <c:v>80/80</c:v>
                </c:pt>
                <c:pt idx="21">
                  <c:v>81/81</c:v>
                </c:pt>
                <c:pt idx="22">
                  <c:v>82/82</c:v>
                </c:pt>
                <c:pt idx="23">
                  <c:v>83/83</c:v>
                </c:pt>
                <c:pt idx="24">
                  <c:v>84/84</c:v>
                </c:pt>
                <c:pt idx="25">
                  <c:v>85/85</c:v>
                </c:pt>
                <c:pt idx="26">
                  <c:v>86/86</c:v>
                </c:pt>
                <c:pt idx="27">
                  <c:v>87/87</c:v>
                </c:pt>
                <c:pt idx="28">
                  <c:v>88/88</c:v>
                </c:pt>
                <c:pt idx="29">
                  <c:v>89/89</c:v>
                </c:pt>
                <c:pt idx="30">
                  <c:v>90/90</c:v>
                </c:pt>
                <c:pt idx="31">
                  <c:v>91/91</c:v>
                </c:pt>
                <c:pt idx="32">
                  <c:v>92/92</c:v>
                </c:pt>
                <c:pt idx="33">
                  <c:v>93/93</c:v>
                </c:pt>
                <c:pt idx="34">
                  <c:v>94/94</c:v>
                </c:pt>
              </c:strCache>
            </c:strRef>
          </c:cat>
          <c:val>
            <c:numRef>
              <c:f>Charts!$B$13:$AJ$13</c:f>
              <c:numCache>
                <c:formatCode>_("$"* #,##0_);_("$"* \(#,##0\);_("$"* "-"_);_(@_)</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8-9B77-4BF1-97A8-12D97A5F1F73}"/>
            </c:ext>
          </c:extLst>
        </c:ser>
        <c:dLbls>
          <c:showLegendKey val="0"/>
          <c:showVal val="0"/>
          <c:showCatName val="0"/>
          <c:showSerName val="0"/>
          <c:showPercent val="0"/>
          <c:showBubbleSize val="0"/>
        </c:dLbls>
        <c:axId val="508792048"/>
        <c:axId val="675182240"/>
      </c:areaChart>
      <c:barChart>
        <c:barDir val="col"/>
        <c:grouping val="stacked"/>
        <c:varyColors val="0"/>
        <c:ser>
          <c:idx val="0"/>
          <c:order val="0"/>
          <c:tx>
            <c:strRef>
              <c:f>Charts!$A$5</c:f>
              <c:strCache>
                <c:ptCount val="1"/>
                <c:pt idx="0">
                  <c:v>Pension(s)</c:v>
                </c:pt>
              </c:strCache>
            </c:strRef>
          </c:tx>
          <c:spPr>
            <a:solidFill>
              <a:schemeClr val="tx2">
                <a:alpha val="90000"/>
              </a:schemeClr>
            </a:solidFill>
            <a:ln w="12700">
              <a:solidFill>
                <a:schemeClr val="bg1"/>
              </a:solidFill>
            </a:ln>
            <a:effectLst/>
          </c:spPr>
          <c:invertIfNegative val="0"/>
          <c:cat>
            <c:multiLvlStrRef>
              <c:f>Charts!$B$3:$AJ$4</c:f>
              <c:multiLvlStrCache>
                <c:ptCount val="35"/>
                <c:lvl>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pt idx="25">
                    <c:v>2051</c:v>
                  </c:pt>
                  <c:pt idx="26">
                    <c:v>2052</c:v>
                  </c:pt>
                  <c:pt idx="27">
                    <c:v>2053</c:v>
                  </c:pt>
                  <c:pt idx="28">
                    <c:v>2054</c:v>
                  </c:pt>
                  <c:pt idx="29">
                    <c:v>2055</c:v>
                  </c:pt>
                  <c:pt idx="30">
                    <c:v>2056</c:v>
                  </c:pt>
                  <c:pt idx="31">
                    <c:v>2057</c:v>
                  </c:pt>
                  <c:pt idx="32">
                    <c:v>2058</c:v>
                  </c:pt>
                  <c:pt idx="33">
                    <c:v>2059</c:v>
                  </c:pt>
                  <c:pt idx="34">
                    <c:v>2060</c:v>
                  </c:pt>
                </c:lvl>
                <c:lvl>
                  <c:pt idx="0">
                    <c:v>60/60</c:v>
                  </c:pt>
                  <c:pt idx="1">
                    <c:v>61/61</c:v>
                  </c:pt>
                  <c:pt idx="2">
                    <c:v>62/62</c:v>
                  </c:pt>
                  <c:pt idx="3">
                    <c:v>63/63</c:v>
                  </c:pt>
                  <c:pt idx="4">
                    <c:v>64/64</c:v>
                  </c:pt>
                  <c:pt idx="5">
                    <c:v>65/65</c:v>
                  </c:pt>
                  <c:pt idx="6">
                    <c:v>66/66</c:v>
                  </c:pt>
                  <c:pt idx="7">
                    <c:v>67/67</c:v>
                  </c:pt>
                  <c:pt idx="8">
                    <c:v>68/68</c:v>
                  </c:pt>
                  <c:pt idx="9">
                    <c:v>69/69</c:v>
                  </c:pt>
                  <c:pt idx="10">
                    <c:v>70/70</c:v>
                  </c:pt>
                  <c:pt idx="11">
                    <c:v>71/71</c:v>
                  </c:pt>
                  <c:pt idx="12">
                    <c:v>72/72</c:v>
                  </c:pt>
                  <c:pt idx="13">
                    <c:v>73/73</c:v>
                  </c:pt>
                  <c:pt idx="14">
                    <c:v>74/74</c:v>
                  </c:pt>
                  <c:pt idx="15">
                    <c:v>75/75</c:v>
                  </c:pt>
                  <c:pt idx="16">
                    <c:v>76/76</c:v>
                  </c:pt>
                  <c:pt idx="17">
                    <c:v>77/77</c:v>
                  </c:pt>
                  <c:pt idx="18">
                    <c:v>78/78</c:v>
                  </c:pt>
                  <c:pt idx="19">
                    <c:v>79/79</c:v>
                  </c:pt>
                  <c:pt idx="20">
                    <c:v>80/80</c:v>
                  </c:pt>
                  <c:pt idx="21">
                    <c:v>81/81</c:v>
                  </c:pt>
                  <c:pt idx="22">
                    <c:v>82/82</c:v>
                  </c:pt>
                  <c:pt idx="23">
                    <c:v>83/83</c:v>
                  </c:pt>
                  <c:pt idx="24">
                    <c:v>84/84</c:v>
                  </c:pt>
                  <c:pt idx="25">
                    <c:v>85/85</c:v>
                  </c:pt>
                  <c:pt idx="26">
                    <c:v>86/86</c:v>
                  </c:pt>
                  <c:pt idx="27">
                    <c:v>87/87</c:v>
                  </c:pt>
                  <c:pt idx="28">
                    <c:v>88/88</c:v>
                  </c:pt>
                  <c:pt idx="29">
                    <c:v>89/89</c:v>
                  </c:pt>
                  <c:pt idx="30">
                    <c:v>90/90</c:v>
                  </c:pt>
                  <c:pt idx="31">
                    <c:v>91/91</c:v>
                  </c:pt>
                  <c:pt idx="32">
                    <c:v>92/92</c:v>
                  </c:pt>
                  <c:pt idx="33">
                    <c:v>93/93</c:v>
                  </c:pt>
                  <c:pt idx="34">
                    <c:v>94/94</c:v>
                  </c:pt>
                </c:lvl>
              </c:multiLvlStrCache>
            </c:multiLvlStrRef>
          </c:cat>
          <c:val>
            <c:numRef>
              <c:f>Charts!$B$5:$AJ$5</c:f>
              <c:numCache>
                <c:formatCode>_("$"* #,##0_);_("$"* \(#,##0\);_("$"* "-"_);_(@_)</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0-9B77-4BF1-97A8-12D97A5F1F73}"/>
            </c:ext>
          </c:extLst>
        </c:ser>
        <c:ser>
          <c:idx val="2"/>
          <c:order val="1"/>
          <c:tx>
            <c:strRef>
              <c:f>Charts!$A$6</c:f>
              <c:strCache>
                <c:ptCount val="1"/>
                <c:pt idx="0">
                  <c:v>Social Security</c:v>
                </c:pt>
              </c:strCache>
            </c:strRef>
          </c:tx>
          <c:spPr>
            <a:solidFill>
              <a:schemeClr val="accent4">
                <a:alpha val="90000"/>
              </a:schemeClr>
            </a:solidFill>
            <a:ln w="12700">
              <a:solidFill>
                <a:schemeClr val="bg1"/>
              </a:solidFill>
            </a:ln>
            <a:effectLst/>
          </c:spPr>
          <c:invertIfNegative val="0"/>
          <c:cat>
            <c:multiLvlStrRef>
              <c:f>Charts!$B$3:$AJ$4</c:f>
              <c:multiLvlStrCache>
                <c:ptCount val="35"/>
                <c:lvl>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pt idx="25">
                    <c:v>2051</c:v>
                  </c:pt>
                  <c:pt idx="26">
                    <c:v>2052</c:v>
                  </c:pt>
                  <c:pt idx="27">
                    <c:v>2053</c:v>
                  </c:pt>
                  <c:pt idx="28">
                    <c:v>2054</c:v>
                  </c:pt>
                  <c:pt idx="29">
                    <c:v>2055</c:v>
                  </c:pt>
                  <c:pt idx="30">
                    <c:v>2056</c:v>
                  </c:pt>
                  <c:pt idx="31">
                    <c:v>2057</c:v>
                  </c:pt>
                  <c:pt idx="32">
                    <c:v>2058</c:v>
                  </c:pt>
                  <c:pt idx="33">
                    <c:v>2059</c:v>
                  </c:pt>
                  <c:pt idx="34">
                    <c:v>2060</c:v>
                  </c:pt>
                </c:lvl>
                <c:lvl>
                  <c:pt idx="0">
                    <c:v>60/60</c:v>
                  </c:pt>
                  <c:pt idx="1">
                    <c:v>61/61</c:v>
                  </c:pt>
                  <c:pt idx="2">
                    <c:v>62/62</c:v>
                  </c:pt>
                  <c:pt idx="3">
                    <c:v>63/63</c:v>
                  </c:pt>
                  <c:pt idx="4">
                    <c:v>64/64</c:v>
                  </c:pt>
                  <c:pt idx="5">
                    <c:v>65/65</c:v>
                  </c:pt>
                  <c:pt idx="6">
                    <c:v>66/66</c:v>
                  </c:pt>
                  <c:pt idx="7">
                    <c:v>67/67</c:v>
                  </c:pt>
                  <c:pt idx="8">
                    <c:v>68/68</c:v>
                  </c:pt>
                  <c:pt idx="9">
                    <c:v>69/69</c:v>
                  </c:pt>
                  <c:pt idx="10">
                    <c:v>70/70</c:v>
                  </c:pt>
                  <c:pt idx="11">
                    <c:v>71/71</c:v>
                  </c:pt>
                  <c:pt idx="12">
                    <c:v>72/72</c:v>
                  </c:pt>
                  <c:pt idx="13">
                    <c:v>73/73</c:v>
                  </c:pt>
                  <c:pt idx="14">
                    <c:v>74/74</c:v>
                  </c:pt>
                  <c:pt idx="15">
                    <c:v>75/75</c:v>
                  </c:pt>
                  <c:pt idx="16">
                    <c:v>76/76</c:v>
                  </c:pt>
                  <c:pt idx="17">
                    <c:v>77/77</c:v>
                  </c:pt>
                  <c:pt idx="18">
                    <c:v>78/78</c:v>
                  </c:pt>
                  <c:pt idx="19">
                    <c:v>79/79</c:v>
                  </c:pt>
                  <c:pt idx="20">
                    <c:v>80/80</c:v>
                  </c:pt>
                  <c:pt idx="21">
                    <c:v>81/81</c:v>
                  </c:pt>
                  <c:pt idx="22">
                    <c:v>82/82</c:v>
                  </c:pt>
                  <c:pt idx="23">
                    <c:v>83/83</c:v>
                  </c:pt>
                  <c:pt idx="24">
                    <c:v>84/84</c:v>
                  </c:pt>
                  <c:pt idx="25">
                    <c:v>85/85</c:v>
                  </c:pt>
                  <c:pt idx="26">
                    <c:v>86/86</c:v>
                  </c:pt>
                  <c:pt idx="27">
                    <c:v>87/87</c:v>
                  </c:pt>
                  <c:pt idx="28">
                    <c:v>88/88</c:v>
                  </c:pt>
                  <c:pt idx="29">
                    <c:v>89/89</c:v>
                  </c:pt>
                  <c:pt idx="30">
                    <c:v>90/90</c:v>
                  </c:pt>
                  <c:pt idx="31">
                    <c:v>91/91</c:v>
                  </c:pt>
                  <c:pt idx="32">
                    <c:v>92/92</c:v>
                  </c:pt>
                  <c:pt idx="33">
                    <c:v>93/93</c:v>
                  </c:pt>
                  <c:pt idx="34">
                    <c:v>94/94</c:v>
                  </c:pt>
                </c:lvl>
              </c:multiLvlStrCache>
            </c:multiLvlStrRef>
          </c:cat>
          <c:val>
            <c:numRef>
              <c:f>Charts!$B$6:$AJ$6</c:f>
              <c:numCache>
                <c:formatCode>_("$"* #,##0_);_("$"* \(#,##0\);_("$"* "-"_);_(@_)</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2-9B77-4BF1-97A8-12D97A5F1F73}"/>
            </c:ext>
          </c:extLst>
        </c:ser>
        <c:ser>
          <c:idx val="3"/>
          <c:order val="2"/>
          <c:tx>
            <c:strRef>
              <c:f>Charts!$A$7</c:f>
              <c:strCache>
                <c:ptCount val="1"/>
                <c:pt idx="0">
                  <c:v>Income / Annuities</c:v>
                </c:pt>
              </c:strCache>
            </c:strRef>
          </c:tx>
          <c:spPr>
            <a:solidFill>
              <a:schemeClr val="accent5">
                <a:alpha val="90000"/>
              </a:schemeClr>
            </a:solidFill>
            <a:ln w="12700">
              <a:solidFill>
                <a:schemeClr val="bg1"/>
              </a:solidFill>
            </a:ln>
            <a:effectLst/>
          </c:spPr>
          <c:invertIfNegative val="0"/>
          <c:cat>
            <c:multiLvlStrRef>
              <c:f>Charts!$B$3:$AJ$4</c:f>
              <c:multiLvlStrCache>
                <c:ptCount val="35"/>
                <c:lvl>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pt idx="25">
                    <c:v>2051</c:v>
                  </c:pt>
                  <c:pt idx="26">
                    <c:v>2052</c:v>
                  </c:pt>
                  <c:pt idx="27">
                    <c:v>2053</c:v>
                  </c:pt>
                  <c:pt idx="28">
                    <c:v>2054</c:v>
                  </c:pt>
                  <c:pt idx="29">
                    <c:v>2055</c:v>
                  </c:pt>
                  <c:pt idx="30">
                    <c:v>2056</c:v>
                  </c:pt>
                  <c:pt idx="31">
                    <c:v>2057</c:v>
                  </c:pt>
                  <c:pt idx="32">
                    <c:v>2058</c:v>
                  </c:pt>
                  <c:pt idx="33">
                    <c:v>2059</c:v>
                  </c:pt>
                  <c:pt idx="34">
                    <c:v>2060</c:v>
                  </c:pt>
                </c:lvl>
                <c:lvl>
                  <c:pt idx="0">
                    <c:v>60/60</c:v>
                  </c:pt>
                  <c:pt idx="1">
                    <c:v>61/61</c:v>
                  </c:pt>
                  <c:pt idx="2">
                    <c:v>62/62</c:v>
                  </c:pt>
                  <c:pt idx="3">
                    <c:v>63/63</c:v>
                  </c:pt>
                  <c:pt idx="4">
                    <c:v>64/64</c:v>
                  </c:pt>
                  <c:pt idx="5">
                    <c:v>65/65</c:v>
                  </c:pt>
                  <c:pt idx="6">
                    <c:v>66/66</c:v>
                  </c:pt>
                  <c:pt idx="7">
                    <c:v>67/67</c:v>
                  </c:pt>
                  <c:pt idx="8">
                    <c:v>68/68</c:v>
                  </c:pt>
                  <c:pt idx="9">
                    <c:v>69/69</c:v>
                  </c:pt>
                  <c:pt idx="10">
                    <c:v>70/70</c:v>
                  </c:pt>
                  <c:pt idx="11">
                    <c:v>71/71</c:v>
                  </c:pt>
                  <c:pt idx="12">
                    <c:v>72/72</c:v>
                  </c:pt>
                  <c:pt idx="13">
                    <c:v>73/73</c:v>
                  </c:pt>
                  <c:pt idx="14">
                    <c:v>74/74</c:v>
                  </c:pt>
                  <c:pt idx="15">
                    <c:v>75/75</c:v>
                  </c:pt>
                  <c:pt idx="16">
                    <c:v>76/76</c:v>
                  </c:pt>
                  <c:pt idx="17">
                    <c:v>77/77</c:v>
                  </c:pt>
                  <c:pt idx="18">
                    <c:v>78/78</c:v>
                  </c:pt>
                  <c:pt idx="19">
                    <c:v>79/79</c:v>
                  </c:pt>
                  <c:pt idx="20">
                    <c:v>80/80</c:v>
                  </c:pt>
                  <c:pt idx="21">
                    <c:v>81/81</c:v>
                  </c:pt>
                  <c:pt idx="22">
                    <c:v>82/82</c:v>
                  </c:pt>
                  <c:pt idx="23">
                    <c:v>83/83</c:v>
                  </c:pt>
                  <c:pt idx="24">
                    <c:v>84/84</c:v>
                  </c:pt>
                  <c:pt idx="25">
                    <c:v>85/85</c:v>
                  </c:pt>
                  <c:pt idx="26">
                    <c:v>86/86</c:v>
                  </c:pt>
                  <c:pt idx="27">
                    <c:v>87/87</c:v>
                  </c:pt>
                  <c:pt idx="28">
                    <c:v>88/88</c:v>
                  </c:pt>
                  <c:pt idx="29">
                    <c:v>89/89</c:v>
                  </c:pt>
                  <c:pt idx="30">
                    <c:v>90/90</c:v>
                  </c:pt>
                  <c:pt idx="31">
                    <c:v>91/91</c:v>
                  </c:pt>
                  <c:pt idx="32">
                    <c:v>92/92</c:v>
                  </c:pt>
                  <c:pt idx="33">
                    <c:v>93/93</c:v>
                  </c:pt>
                  <c:pt idx="34">
                    <c:v>94/94</c:v>
                  </c:pt>
                </c:lvl>
              </c:multiLvlStrCache>
            </c:multiLvlStrRef>
          </c:cat>
          <c:val>
            <c:numRef>
              <c:f>Charts!$B$7:$AJ$7</c:f>
              <c:numCache>
                <c:formatCode>_("$"* #,##0_);_("$"* \(#,##0\);_("$"* "-"_);_(@_)</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3-9B77-4BF1-97A8-12D97A5F1F73}"/>
            </c:ext>
          </c:extLst>
        </c:ser>
        <c:ser>
          <c:idx val="7"/>
          <c:order val="3"/>
          <c:tx>
            <c:strRef>
              <c:f>Charts!$A$12</c:f>
              <c:strCache>
                <c:ptCount val="1"/>
                <c:pt idx="0">
                  <c:v>Savings withdrawal</c:v>
                </c:pt>
              </c:strCache>
            </c:strRef>
          </c:tx>
          <c:spPr>
            <a:solidFill>
              <a:schemeClr val="accent6">
                <a:alpha val="90000"/>
              </a:schemeClr>
            </a:solidFill>
            <a:ln w="12700">
              <a:solidFill>
                <a:schemeClr val="bg1"/>
              </a:solidFill>
            </a:ln>
            <a:effectLst/>
          </c:spPr>
          <c:invertIfNegative val="0"/>
          <c:cat>
            <c:multiLvlStrRef>
              <c:f>Charts!$B$3:$AJ$4</c:f>
              <c:multiLvlStrCache>
                <c:ptCount val="35"/>
                <c:lvl>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pt idx="25">
                    <c:v>2051</c:v>
                  </c:pt>
                  <c:pt idx="26">
                    <c:v>2052</c:v>
                  </c:pt>
                  <c:pt idx="27">
                    <c:v>2053</c:v>
                  </c:pt>
                  <c:pt idx="28">
                    <c:v>2054</c:v>
                  </c:pt>
                  <c:pt idx="29">
                    <c:v>2055</c:v>
                  </c:pt>
                  <c:pt idx="30">
                    <c:v>2056</c:v>
                  </c:pt>
                  <c:pt idx="31">
                    <c:v>2057</c:v>
                  </c:pt>
                  <c:pt idx="32">
                    <c:v>2058</c:v>
                  </c:pt>
                  <c:pt idx="33">
                    <c:v>2059</c:v>
                  </c:pt>
                  <c:pt idx="34">
                    <c:v>2060</c:v>
                  </c:pt>
                </c:lvl>
                <c:lvl>
                  <c:pt idx="0">
                    <c:v>60/60</c:v>
                  </c:pt>
                  <c:pt idx="1">
                    <c:v>61/61</c:v>
                  </c:pt>
                  <c:pt idx="2">
                    <c:v>62/62</c:v>
                  </c:pt>
                  <c:pt idx="3">
                    <c:v>63/63</c:v>
                  </c:pt>
                  <c:pt idx="4">
                    <c:v>64/64</c:v>
                  </c:pt>
                  <c:pt idx="5">
                    <c:v>65/65</c:v>
                  </c:pt>
                  <c:pt idx="6">
                    <c:v>66/66</c:v>
                  </c:pt>
                  <c:pt idx="7">
                    <c:v>67/67</c:v>
                  </c:pt>
                  <c:pt idx="8">
                    <c:v>68/68</c:v>
                  </c:pt>
                  <c:pt idx="9">
                    <c:v>69/69</c:v>
                  </c:pt>
                  <c:pt idx="10">
                    <c:v>70/70</c:v>
                  </c:pt>
                  <c:pt idx="11">
                    <c:v>71/71</c:v>
                  </c:pt>
                  <c:pt idx="12">
                    <c:v>72/72</c:v>
                  </c:pt>
                  <c:pt idx="13">
                    <c:v>73/73</c:v>
                  </c:pt>
                  <c:pt idx="14">
                    <c:v>74/74</c:v>
                  </c:pt>
                  <c:pt idx="15">
                    <c:v>75/75</c:v>
                  </c:pt>
                  <c:pt idx="16">
                    <c:v>76/76</c:v>
                  </c:pt>
                  <c:pt idx="17">
                    <c:v>77/77</c:v>
                  </c:pt>
                  <c:pt idx="18">
                    <c:v>78/78</c:v>
                  </c:pt>
                  <c:pt idx="19">
                    <c:v>79/79</c:v>
                  </c:pt>
                  <c:pt idx="20">
                    <c:v>80/80</c:v>
                  </c:pt>
                  <c:pt idx="21">
                    <c:v>81/81</c:v>
                  </c:pt>
                  <c:pt idx="22">
                    <c:v>82/82</c:v>
                  </c:pt>
                  <c:pt idx="23">
                    <c:v>83/83</c:v>
                  </c:pt>
                  <c:pt idx="24">
                    <c:v>84/84</c:v>
                  </c:pt>
                  <c:pt idx="25">
                    <c:v>85/85</c:v>
                  </c:pt>
                  <c:pt idx="26">
                    <c:v>86/86</c:v>
                  </c:pt>
                  <c:pt idx="27">
                    <c:v>87/87</c:v>
                  </c:pt>
                  <c:pt idx="28">
                    <c:v>88/88</c:v>
                  </c:pt>
                  <c:pt idx="29">
                    <c:v>89/89</c:v>
                  </c:pt>
                  <c:pt idx="30">
                    <c:v>90/90</c:v>
                  </c:pt>
                  <c:pt idx="31">
                    <c:v>91/91</c:v>
                  </c:pt>
                  <c:pt idx="32">
                    <c:v>92/92</c:v>
                  </c:pt>
                  <c:pt idx="33">
                    <c:v>93/93</c:v>
                  </c:pt>
                  <c:pt idx="34">
                    <c:v>94/94</c:v>
                  </c:pt>
                </c:lvl>
              </c:multiLvlStrCache>
            </c:multiLvlStrRef>
          </c:cat>
          <c:val>
            <c:numRef>
              <c:f>Charts!$B$12:$AJ$12</c:f>
              <c:numCache>
                <c:formatCode>_("$"* #,##0_);_("$"* \(#,##0\);_("$"* "-"_);_(@_)</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7-9B77-4BF1-97A8-12D97A5F1F73}"/>
            </c:ext>
          </c:extLst>
        </c:ser>
        <c:ser>
          <c:idx val="9"/>
          <c:order val="5"/>
          <c:tx>
            <c:strRef>
              <c:f>Charts!$A$11</c:f>
              <c:strCache>
                <c:ptCount val="1"/>
                <c:pt idx="0">
                  <c:v>Windfall(s)</c:v>
                </c:pt>
              </c:strCache>
            </c:strRef>
          </c:tx>
          <c:spPr>
            <a:solidFill>
              <a:schemeClr val="accent6">
                <a:lumMod val="60000"/>
                <a:lumOff val="40000"/>
                <a:alpha val="50000"/>
              </a:schemeClr>
            </a:solidFill>
            <a:ln w="12700">
              <a:solidFill>
                <a:schemeClr val="bg1"/>
              </a:solidFill>
            </a:ln>
          </c:spPr>
          <c:invertIfNegative val="0"/>
          <c:val>
            <c:numRef>
              <c:f>Charts!$B$11:$AJ$11</c:f>
              <c:numCache>
                <c:formatCode>_("$"* #,##0_);_("$"* \(#,##0\);_("$"* "-"_);_(@_)</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0-6878-4FF5-B15B-8456396C710B}"/>
            </c:ext>
          </c:extLst>
        </c:ser>
        <c:ser>
          <c:idx val="5"/>
          <c:order val="6"/>
          <c:tx>
            <c:strRef>
              <c:f>Charts!$A$10</c:f>
              <c:strCache>
                <c:ptCount val="1"/>
                <c:pt idx="0">
                  <c:v>One-time spending</c:v>
                </c:pt>
              </c:strCache>
            </c:strRef>
          </c:tx>
          <c:spPr>
            <a:solidFill>
              <a:srgbClr val="FF0000">
                <a:alpha val="50000"/>
              </a:srgbClr>
            </a:solidFill>
            <a:ln w="12700">
              <a:solidFill>
                <a:schemeClr val="bg1"/>
              </a:solidFill>
            </a:ln>
            <a:effectLst/>
          </c:spPr>
          <c:invertIfNegative val="0"/>
          <c:cat>
            <c:multiLvlStrRef>
              <c:f>Charts!$B$3:$AJ$4</c:f>
              <c:multiLvlStrCache>
                <c:ptCount val="35"/>
                <c:lvl>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pt idx="15">
                    <c:v>2041</c:v>
                  </c:pt>
                  <c:pt idx="16">
                    <c:v>2042</c:v>
                  </c:pt>
                  <c:pt idx="17">
                    <c:v>2043</c:v>
                  </c:pt>
                  <c:pt idx="18">
                    <c:v>2044</c:v>
                  </c:pt>
                  <c:pt idx="19">
                    <c:v>2045</c:v>
                  </c:pt>
                  <c:pt idx="20">
                    <c:v>2046</c:v>
                  </c:pt>
                  <c:pt idx="21">
                    <c:v>2047</c:v>
                  </c:pt>
                  <c:pt idx="22">
                    <c:v>2048</c:v>
                  </c:pt>
                  <c:pt idx="23">
                    <c:v>2049</c:v>
                  </c:pt>
                  <c:pt idx="24">
                    <c:v>2050</c:v>
                  </c:pt>
                  <c:pt idx="25">
                    <c:v>2051</c:v>
                  </c:pt>
                  <c:pt idx="26">
                    <c:v>2052</c:v>
                  </c:pt>
                  <c:pt idx="27">
                    <c:v>2053</c:v>
                  </c:pt>
                  <c:pt idx="28">
                    <c:v>2054</c:v>
                  </c:pt>
                  <c:pt idx="29">
                    <c:v>2055</c:v>
                  </c:pt>
                  <c:pt idx="30">
                    <c:v>2056</c:v>
                  </c:pt>
                  <c:pt idx="31">
                    <c:v>2057</c:v>
                  </c:pt>
                  <c:pt idx="32">
                    <c:v>2058</c:v>
                  </c:pt>
                  <c:pt idx="33">
                    <c:v>2059</c:v>
                  </c:pt>
                  <c:pt idx="34">
                    <c:v>2060</c:v>
                  </c:pt>
                </c:lvl>
                <c:lvl>
                  <c:pt idx="0">
                    <c:v>60/60</c:v>
                  </c:pt>
                  <c:pt idx="1">
                    <c:v>61/61</c:v>
                  </c:pt>
                  <c:pt idx="2">
                    <c:v>62/62</c:v>
                  </c:pt>
                  <c:pt idx="3">
                    <c:v>63/63</c:v>
                  </c:pt>
                  <c:pt idx="4">
                    <c:v>64/64</c:v>
                  </c:pt>
                  <c:pt idx="5">
                    <c:v>65/65</c:v>
                  </c:pt>
                  <c:pt idx="6">
                    <c:v>66/66</c:v>
                  </c:pt>
                  <c:pt idx="7">
                    <c:v>67/67</c:v>
                  </c:pt>
                  <c:pt idx="8">
                    <c:v>68/68</c:v>
                  </c:pt>
                  <c:pt idx="9">
                    <c:v>69/69</c:v>
                  </c:pt>
                  <c:pt idx="10">
                    <c:v>70/70</c:v>
                  </c:pt>
                  <c:pt idx="11">
                    <c:v>71/71</c:v>
                  </c:pt>
                  <c:pt idx="12">
                    <c:v>72/72</c:v>
                  </c:pt>
                  <c:pt idx="13">
                    <c:v>73/73</c:v>
                  </c:pt>
                  <c:pt idx="14">
                    <c:v>74/74</c:v>
                  </c:pt>
                  <c:pt idx="15">
                    <c:v>75/75</c:v>
                  </c:pt>
                  <c:pt idx="16">
                    <c:v>76/76</c:v>
                  </c:pt>
                  <c:pt idx="17">
                    <c:v>77/77</c:v>
                  </c:pt>
                  <c:pt idx="18">
                    <c:v>78/78</c:v>
                  </c:pt>
                  <c:pt idx="19">
                    <c:v>79/79</c:v>
                  </c:pt>
                  <c:pt idx="20">
                    <c:v>80/80</c:v>
                  </c:pt>
                  <c:pt idx="21">
                    <c:v>81/81</c:v>
                  </c:pt>
                  <c:pt idx="22">
                    <c:v>82/82</c:v>
                  </c:pt>
                  <c:pt idx="23">
                    <c:v>83/83</c:v>
                  </c:pt>
                  <c:pt idx="24">
                    <c:v>84/84</c:v>
                  </c:pt>
                  <c:pt idx="25">
                    <c:v>85/85</c:v>
                  </c:pt>
                  <c:pt idx="26">
                    <c:v>86/86</c:v>
                  </c:pt>
                  <c:pt idx="27">
                    <c:v>87/87</c:v>
                  </c:pt>
                  <c:pt idx="28">
                    <c:v>88/88</c:v>
                  </c:pt>
                  <c:pt idx="29">
                    <c:v>89/89</c:v>
                  </c:pt>
                  <c:pt idx="30">
                    <c:v>90/90</c:v>
                  </c:pt>
                  <c:pt idx="31">
                    <c:v>91/91</c:v>
                  </c:pt>
                  <c:pt idx="32">
                    <c:v>92/92</c:v>
                  </c:pt>
                  <c:pt idx="33">
                    <c:v>93/93</c:v>
                  </c:pt>
                  <c:pt idx="34">
                    <c:v>94/94</c:v>
                  </c:pt>
                </c:lvl>
              </c:multiLvlStrCache>
            </c:multiLvlStrRef>
          </c:cat>
          <c:val>
            <c:numRef>
              <c:f>Charts!$B$10:$AJ$10</c:f>
              <c:numCache>
                <c:formatCode>_("$"* #,##0_);_("$"* \(#,##0\);_("$"* "-"_);_(@_)</c:formatCode>
                <c:ptCount val="3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numCache>
            </c:numRef>
          </c:val>
          <c:extLst>
            <c:ext xmlns:c16="http://schemas.microsoft.com/office/drawing/2014/chart" uri="{C3380CC4-5D6E-409C-BE32-E72D297353CC}">
              <c16:uniqueId val="{00000001-7539-4B02-8F21-C3A8A7C6535A}"/>
            </c:ext>
          </c:extLst>
        </c:ser>
        <c:dLbls>
          <c:showLegendKey val="0"/>
          <c:showVal val="0"/>
          <c:showCatName val="0"/>
          <c:showSerName val="0"/>
          <c:showPercent val="0"/>
          <c:showBubbleSize val="0"/>
        </c:dLbls>
        <c:gapWidth val="150"/>
        <c:overlap val="100"/>
        <c:axId val="553576880"/>
        <c:axId val="675180752"/>
      </c:barChart>
      <c:lineChart>
        <c:grouping val="standard"/>
        <c:varyColors val="0"/>
        <c:ser>
          <c:idx val="6"/>
          <c:order val="4"/>
          <c:tx>
            <c:strRef>
              <c:f>Charts!$A$9</c:f>
              <c:strCache>
                <c:ptCount val="1"/>
                <c:pt idx="0">
                  <c:v>Spending goal</c:v>
                </c:pt>
              </c:strCache>
            </c:strRef>
          </c:tx>
          <c:spPr>
            <a:ln w="19050" cap="rnd">
              <a:solidFill>
                <a:srgbClr val="C00000"/>
              </a:solidFill>
              <a:prstDash val="solid"/>
              <a:round/>
            </a:ln>
            <a:effectLst/>
          </c:spPr>
          <c:marker>
            <c:symbol val="circle"/>
            <c:size val="10"/>
            <c:spPr>
              <a:solidFill>
                <a:srgbClr val="C00000"/>
              </a:solidFill>
              <a:ln w="6350">
                <a:solidFill>
                  <a:schemeClr val="bg1"/>
                </a:solidFill>
              </a:ln>
              <a:effectLst/>
            </c:spPr>
          </c:marker>
          <c:cat>
            <c:strRef>
              <c:f>Charts!$B$3:$AA$3</c:f>
              <c:strCache>
                <c:ptCount val="26"/>
                <c:pt idx="0">
                  <c:v>60/60</c:v>
                </c:pt>
                <c:pt idx="1">
                  <c:v>61/61</c:v>
                </c:pt>
                <c:pt idx="2">
                  <c:v>62/62</c:v>
                </c:pt>
                <c:pt idx="3">
                  <c:v>63/63</c:v>
                </c:pt>
                <c:pt idx="4">
                  <c:v>64/64</c:v>
                </c:pt>
                <c:pt idx="5">
                  <c:v>65/65</c:v>
                </c:pt>
                <c:pt idx="6">
                  <c:v>66/66</c:v>
                </c:pt>
                <c:pt idx="7">
                  <c:v>67/67</c:v>
                </c:pt>
                <c:pt idx="8">
                  <c:v>68/68</c:v>
                </c:pt>
                <c:pt idx="9">
                  <c:v>69/69</c:v>
                </c:pt>
                <c:pt idx="10">
                  <c:v>70/70</c:v>
                </c:pt>
                <c:pt idx="11">
                  <c:v>71/71</c:v>
                </c:pt>
                <c:pt idx="12">
                  <c:v>72/72</c:v>
                </c:pt>
                <c:pt idx="13">
                  <c:v>73/73</c:v>
                </c:pt>
                <c:pt idx="14">
                  <c:v>74/74</c:v>
                </c:pt>
                <c:pt idx="15">
                  <c:v>75/75</c:v>
                </c:pt>
                <c:pt idx="16">
                  <c:v>76/76</c:v>
                </c:pt>
                <c:pt idx="17">
                  <c:v>77/77</c:v>
                </c:pt>
                <c:pt idx="18">
                  <c:v>78/78</c:v>
                </c:pt>
                <c:pt idx="19">
                  <c:v>79/79</c:v>
                </c:pt>
                <c:pt idx="20">
                  <c:v>80/80</c:v>
                </c:pt>
                <c:pt idx="21">
                  <c:v>81/81</c:v>
                </c:pt>
                <c:pt idx="22">
                  <c:v>82/82</c:v>
                </c:pt>
                <c:pt idx="23">
                  <c:v>83/83</c:v>
                </c:pt>
                <c:pt idx="24">
                  <c:v>84/84</c:v>
                </c:pt>
                <c:pt idx="25">
                  <c:v>85/85</c:v>
                </c:pt>
              </c:strCache>
            </c:strRef>
          </c:cat>
          <c:val>
            <c:numRef>
              <c:f>Charts!$B$9:$AJ$9</c:f>
              <c:numCache>
                <c:formatCode>_("$"* #,##0_);_("$"* \(#,##0\);_("$"* "-"_);_(@_)</c:formatCode>
                <c:ptCount val="35"/>
                <c:pt idx="0">
                  <c:v>36733</c:v>
                </c:pt>
                <c:pt idx="1">
                  <c:v>38223.984999999993</c:v>
                </c:pt>
                <c:pt idx="2">
                  <c:v>39778.014324999996</c:v>
                </c:pt>
                <c:pt idx="3">
                  <c:v>41397.82371962499</c:v>
                </c:pt>
                <c:pt idx="4">
                  <c:v>43086.269505758108</c:v>
                </c:pt>
                <c:pt idx="5">
                  <c:v>26849.099019843306</c:v>
                </c:pt>
                <c:pt idx="6">
                  <c:v>27874.020345247976</c:v>
                </c:pt>
                <c:pt idx="7">
                  <c:v>28940.480927033641</c:v>
                </c:pt>
                <c:pt idx="8">
                  <c:v>30050.235476655904</c:v>
                </c:pt>
                <c:pt idx="9">
                  <c:v>31205.11480370881</c:v>
                </c:pt>
                <c:pt idx="10">
                  <c:v>32407.029168744182</c:v>
                </c:pt>
                <c:pt idx="11">
                  <c:v>33657.971785177855</c:v>
                </c:pt>
                <c:pt idx="12">
                  <c:v>34960.022476947051</c:v>
                </c:pt>
                <c:pt idx="13">
                  <c:v>36315.351498881762</c:v>
                </c:pt>
                <c:pt idx="14">
                  <c:v>37726.223527065347</c:v>
                </c:pt>
                <c:pt idx="15">
                  <c:v>39195.001826785519</c:v>
                </c:pt>
                <c:pt idx="16">
                  <c:v>40724.152606018179</c:v>
                </c:pt>
                <c:pt idx="17">
                  <c:v>42316.249562741978</c:v>
                </c:pt>
                <c:pt idx="18">
                  <c:v>43721.313922486224</c:v>
                </c:pt>
                <c:pt idx="19">
                  <c:v>45187.359927501348</c:v>
                </c:pt>
                <c:pt idx="20">
                  <c:v>46717.121643695427</c:v>
                </c:pt>
                <c:pt idx="21">
                  <c:v>48313.456124455777</c:v>
                </c:pt>
                <c:pt idx="22">
                  <c:v>49979.348944880941</c:v>
                </c:pt>
                <c:pt idx="23">
                  <c:v>51717.919985051936</c:v>
                </c:pt>
                <c:pt idx="24">
                  <c:v>53532.429473550052</c:v>
                </c:pt>
                <c:pt idx="25">
                  <c:v>55426.284302931854</c:v>
                </c:pt>
                <c:pt idx="26">
                  <c:v>57403.044629399672</c:v>
                </c:pt>
                <c:pt idx="27">
                  <c:v>59466.430769456274</c:v>
                </c:pt>
                <c:pt idx="28">
                  <c:v>61620.330406908266</c:v>
                </c:pt>
                <c:pt idx="29">
                  <c:v>63868.806124183284</c:v>
                </c:pt>
                <c:pt idx="30">
                  <c:v>66216.103272556051</c:v>
                </c:pt>
                <c:pt idx="31">
                  <c:v>68666.65819653307</c:v>
                </c:pt>
                <c:pt idx="32">
                  <c:v>71225.106828334276</c:v>
                </c:pt>
                <c:pt idx="33">
                  <c:v>73896.293669124861</c:v>
                </c:pt>
                <c:pt idx="34">
                  <c:v>76685.28117440184</c:v>
                </c:pt>
              </c:numCache>
            </c:numRef>
          </c:val>
          <c:smooth val="0"/>
          <c:extLst>
            <c:ext xmlns:c16="http://schemas.microsoft.com/office/drawing/2014/chart" uri="{C3380CC4-5D6E-409C-BE32-E72D297353CC}">
              <c16:uniqueId val="{00000006-9B77-4BF1-97A8-12D97A5F1F73}"/>
            </c:ext>
          </c:extLst>
        </c:ser>
        <c:dLbls>
          <c:showLegendKey val="0"/>
          <c:showVal val="0"/>
          <c:showCatName val="0"/>
          <c:showSerName val="0"/>
          <c:showPercent val="0"/>
          <c:showBubbleSize val="0"/>
        </c:dLbls>
        <c:marker val="1"/>
        <c:smooth val="0"/>
        <c:axId val="553576880"/>
        <c:axId val="675180752"/>
      </c:lineChart>
      <c:scatterChart>
        <c:scatterStyle val="lineMarker"/>
        <c:varyColors val="0"/>
        <c:ser>
          <c:idx val="1"/>
          <c:order val="9"/>
          <c:tx>
            <c:strRef>
              <c:f>Charts!$A$17</c:f>
              <c:strCache>
                <c:ptCount val="1"/>
                <c:pt idx="0">
                  <c:v>Longevity probability</c:v>
                </c:pt>
              </c:strCache>
              <c:extLst xmlns:c15="http://schemas.microsoft.com/office/drawing/2012/chart"/>
            </c:strRef>
          </c:tx>
          <c:spPr>
            <a:ln w="19050">
              <a:no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7-5EC1-415A-B637-78EB03BA4B9E}"/>
                </c:ext>
              </c:extLst>
            </c:dLbl>
            <c:dLbl>
              <c:idx val="1"/>
              <c:delete val="1"/>
              <c:extLst>
                <c:ext xmlns:c15="http://schemas.microsoft.com/office/drawing/2012/chart" uri="{CE6537A1-D6FC-4f65-9D91-7224C49458BB}"/>
                <c:ext xmlns:c16="http://schemas.microsoft.com/office/drawing/2014/chart" uri="{C3380CC4-5D6E-409C-BE32-E72D297353CC}">
                  <c16:uniqueId val="{00000008-5EC1-415A-B637-78EB03BA4B9E}"/>
                </c:ext>
              </c:extLst>
            </c:dLbl>
            <c:dLbl>
              <c:idx val="2"/>
              <c:delete val="1"/>
              <c:extLst>
                <c:ext xmlns:c15="http://schemas.microsoft.com/office/drawing/2012/chart" uri="{CE6537A1-D6FC-4f65-9D91-7224C49458BB}"/>
                <c:ext xmlns:c16="http://schemas.microsoft.com/office/drawing/2014/chart" uri="{C3380CC4-5D6E-409C-BE32-E72D297353CC}">
                  <c16:uniqueId val="{00000009-5EC1-415A-B637-78EB03BA4B9E}"/>
                </c:ext>
              </c:extLst>
            </c:dLbl>
            <c:dLbl>
              <c:idx val="3"/>
              <c:delete val="1"/>
              <c:extLst>
                <c:ext xmlns:c15="http://schemas.microsoft.com/office/drawing/2012/chart" uri="{CE6537A1-D6FC-4f65-9D91-7224C49458BB}"/>
                <c:ext xmlns:c16="http://schemas.microsoft.com/office/drawing/2014/chart" uri="{C3380CC4-5D6E-409C-BE32-E72D297353CC}">
                  <c16:uniqueId val="{0000000A-5EC1-415A-B637-78EB03BA4B9E}"/>
                </c:ext>
              </c:extLst>
            </c:dLbl>
            <c:dLbl>
              <c:idx val="4"/>
              <c:delete val="1"/>
              <c:extLst>
                <c:ext xmlns:c15="http://schemas.microsoft.com/office/drawing/2012/chart" uri="{CE6537A1-D6FC-4f65-9D91-7224C49458BB}"/>
                <c:ext xmlns:c16="http://schemas.microsoft.com/office/drawing/2014/chart" uri="{C3380CC4-5D6E-409C-BE32-E72D297353CC}">
                  <c16:uniqueId val="{00000001-5EC1-415A-B637-78EB03BA4B9E}"/>
                </c:ext>
              </c:extLst>
            </c:dLbl>
            <c:dLbl>
              <c:idx val="5"/>
              <c:delete val="1"/>
              <c:extLst>
                <c:ext xmlns:c15="http://schemas.microsoft.com/office/drawing/2012/chart" uri="{CE6537A1-D6FC-4f65-9D91-7224C49458BB}"/>
                <c:ext xmlns:c16="http://schemas.microsoft.com/office/drawing/2014/chart" uri="{C3380CC4-5D6E-409C-BE32-E72D297353CC}">
                  <c16:uniqueId val="{0000000B-5EC1-415A-B637-78EB03BA4B9E}"/>
                </c:ext>
              </c:extLst>
            </c:dLbl>
            <c:dLbl>
              <c:idx val="6"/>
              <c:delete val="1"/>
              <c:extLst>
                <c:ext xmlns:c15="http://schemas.microsoft.com/office/drawing/2012/chart" uri="{CE6537A1-D6FC-4f65-9D91-7224C49458BB}"/>
                <c:ext xmlns:c16="http://schemas.microsoft.com/office/drawing/2014/chart" uri="{C3380CC4-5D6E-409C-BE32-E72D297353CC}">
                  <c16:uniqueId val="{0000000C-5EC1-415A-B637-78EB03BA4B9E}"/>
                </c:ext>
              </c:extLst>
            </c:dLbl>
            <c:dLbl>
              <c:idx val="7"/>
              <c:delete val="1"/>
              <c:extLst>
                <c:ext xmlns:c15="http://schemas.microsoft.com/office/drawing/2012/chart" uri="{CE6537A1-D6FC-4f65-9D91-7224C49458BB}"/>
                <c:ext xmlns:c16="http://schemas.microsoft.com/office/drawing/2014/chart" uri="{C3380CC4-5D6E-409C-BE32-E72D297353CC}">
                  <c16:uniqueId val="{0000000D-5EC1-415A-B637-78EB03BA4B9E}"/>
                </c:ext>
              </c:extLst>
            </c:dLbl>
            <c:dLbl>
              <c:idx val="8"/>
              <c:delete val="1"/>
              <c:extLst>
                <c:ext xmlns:c15="http://schemas.microsoft.com/office/drawing/2012/chart" uri="{CE6537A1-D6FC-4f65-9D91-7224C49458BB}"/>
                <c:ext xmlns:c16="http://schemas.microsoft.com/office/drawing/2014/chart" uri="{C3380CC4-5D6E-409C-BE32-E72D297353CC}">
                  <c16:uniqueId val="{0000000E-5EC1-415A-B637-78EB03BA4B9E}"/>
                </c:ext>
              </c:extLst>
            </c:dLbl>
            <c:dLbl>
              <c:idx val="9"/>
              <c:delete val="1"/>
              <c:extLst>
                <c:ext xmlns:c15="http://schemas.microsoft.com/office/drawing/2012/chart" uri="{CE6537A1-D6FC-4f65-9D91-7224C49458BB}"/>
                <c:ext xmlns:c16="http://schemas.microsoft.com/office/drawing/2014/chart" uri="{C3380CC4-5D6E-409C-BE32-E72D297353CC}">
                  <c16:uniqueId val="{00000002-5EC1-415A-B637-78EB03BA4B9E}"/>
                </c:ext>
              </c:extLst>
            </c:dLbl>
            <c:dLbl>
              <c:idx val="10"/>
              <c:delete val="1"/>
              <c:extLst>
                <c:ext xmlns:c15="http://schemas.microsoft.com/office/drawing/2012/chart" uri="{CE6537A1-D6FC-4f65-9D91-7224C49458BB}"/>
                <c:ext xmlns:c16="http://schemas.microsoft.com/office/drawing/2014/chart" uri="{C3380CC4-5D6E-409C-BE32-E72D297353CC}">
                  <c16:uniqueId val="{0000000F-5EC1-415A-B637-78EB03BA4B9E}"/>
                </c:ext>
              </c:extLst>
            </c:dLbl>
            <c:dLbl>
              <c:idx val="11"/>
              <c:delete val="1"/>
              <c:extLst>
                <c:ext xmlns:c15="http://schemas.microsoft.com/office/drawing/2012/chart" uri="{CE6537A1-D6FC-4f65-9D91-7224C49458BB}"/>
                <c:ext xmlns:c16="http://schemas.microsoft.com/office/drawing/2014/chart" uri="{C3380CC4-5D6E-409C-BE32-E72D297353CC}">
                  <c16:uniqueId val="{00000010-5EC1-415A-B637-78EB03BA4B9E}"/>
                </c:ext>
              </c:extLst>
            </c:dLbl>
            <c:dLbl>
              <c:idx val="12"/>
              <c:delete val="1"/>
              <c:extLst>
                <c:ext xmlns:c15="http://schemas.microsoft.com/office/drawing/2012/chart" uri="{CE6537A1-D6FC-4f65-9D91-7224C49458BB}"/>
                <c:ext xmlns:c16="http://schemas.microsoft.com/office/drawing/2014/chart" uri="{C3380CC4-5D6E-409C-BE32-E72D297353CC}">
                  <c16:uniqueId val="{00000011-5EC1-415A-B637-78EB03BA4B9E}"/>
                </c:ext>
              </c:extLst>
            </c:dLbl>
            <c:dLbl>
              <c:idx val="13"/>
              <c:delete val="1"/>
              <c:extLst>
                <c:ext xmlns:c15="http://schemas.microsoft.com/office/drawing/2012/chart" uri="{CE6537A1-D6FC-4f65-9D91-7224C49458BB}"/>
                <c:ext xmlns:c16="http://schemas.microsoft.com/office/drawing/2014/chart" uri="{C3380CC4-5D6E-409C-BE32-E72D297353CC}">
                  <c16:uniqueId val="{00000012-5EC1-415A-B637-78EB03BA4B9E}"/>
                </c:ext>
              </c:extLst>
            </c:dLbl>
            <c:dLbl>
              <c:idx val="14"/>
              <c:delete val="1"/>
              <c:extLst>
                <c:ext xmlns:c15="http://schemas.microsoft.com/office/drawing/2012/chart" uri="{CE6537A1-D6FC-4f65-9D91-7224C49458BB}"/>
                <c:ext xmlns:c16="http://schemas.microsoft.com/office/drawing/2014/chart" uri="{C3380CC4-5D6E-409C-BE32-E72D297353CC}">
                  <c16:uniqueId val="{00000003-5EC1-415A-B637-78EB03BA4B9E}"/>
                </c:ext>
              </c:extLst>
            </c:dLbl>
            <c:dLbl>
              <c:idx val="15"/>
              <c:delete val="1"/>
              <c:extLst>
                <c:ext xmlns:c15="http://schemas.microsoft.com/office/drawing/2012/chart" uri="{CE6537A1-D6FC-4f65-9D91-7224C49458BB}"/>
                <c:ext xmlns:c16="http://schemas.microsoft.com/office/drawing/2014/chart" uri="{C3380CC4-5D6E-409C-BE32-E72D297353CC}">
                  <c16:uniqueId val="{00000013-5EC1-415A-B637-78EB03BA4B9E}"/>
                </c:ext>
              </c:extLst>
            </c:dLbl>
            <c:dLbl>
              <c:idx val="16"/>
              <c:delete val="1"/>
              <c:extLst>
                <c:ext xmlns:c15="http://schemas.microsoft.com/office/drawing/2012/chart" uri="{CE6537A1-D6FC-4f65-9D91-7224C49458BB}"/>
                <c:ext xmlns:c16="http://schemas.microsoft.com/office/drawing/2014/chart" uri="{C3380CC4-5D6E-409C-BE32-E72D297353CC}">
                  <c16:uniqueId val="{00000014-5EC1-415A-B637-78EB03BA4B9E}"/>
                </c:ext>
              </c:extLst>
            </c:dLbl>
            <c:dLbl>
              <c:idx val="17"/>
              <c:delete val="1"/>
              <c:extLst>
                <c:ext xmlns:c15="http://schemas.microsoft.com/office/drawing/2012/chart" uri="{CE6537A1-D6FC-4f65-9D91-7224C49458BB}"/>
                <c:ext xmlns:c16="http://schemas.microsoft.com/office/drawing/2014/chart" uri="{C3380CC4-5D6E-409C-BE32-E72D297353CC}">
                  <c16:uniqueId val="{00000015-5EC1-415A-B637-78EB03BA4B9E}"/>
                </c:ext>
              </c:extLst>
            </c:dLbl>
            <c:dLbl>
              <c:idx val="18"/>
              <c:delete val="1"/>
              <c:extLst>
                <c:ext xmlns:c15="http://schemas.microsoft.com/office/drawing/2012/chart" uri="{CE6537A1-D6FC-4f65-9D91-7224C49458BB}"/>
                <c:ext xmlns:c16="http://schemas.microsoft.com/office/drawing/2014/chart" uri="{C3380CC4-5D6E-409C-BE32-E72D297353CC}">
                  <c16:uniqueId val="{00000016-5EC1-415A-B637-78EB03BA4B9E}"/>
                </c:ext>
              </c:extLst>
            </c:dLbl>
            <c:dLbl>
              <c:idx val="19"/>
              <c:layout>
                <c:manualLayout>
                  <c:x val="-4.5723806436546027E-2"/>
                  <c:y val="-0.84597701149425286"/>
                </c:manualLayout>
              </c:layout>
              <c:tx>
                <c:rich>
                  <a:bodyPr lIns="38100" tIns="45720" rIns="38100" bIns="45720">
                    <a:spAutoFit/>
                  </a:bodyPr>
                  <a:lstStyle/>
                  <a:p>
                    <a:pPr>
                      <a:defRPr/>
                    </a:pPr>
                    <a:fld id="{5E40F1A0-EB45-4DD2-A8D5-6DFDBCDD35A7}" type="YVALUE">
                      <a:rPr lang="en-US" sz="1100"/>
                      <a:pPr>
                        <a:defRPr/>
                      </a:pPr>
                      <a:t>[Y VALUE]</a:t>
                    </a:fld>
                    <a:br>
                      <a:rPr lang="en-US" sz="1100"/>
                    </a:br>
                    <a:fld id="{5B2BB0AE-4042-443A-8EDF-FEEFC9B3D026}" type="SERIESNAME">
                      <a:rPr lang="en-US" sz="1000" b="0" i="0" u="none" strike="noStrike" kern="1200" baseline="0">
                        <a:ln>
                          <a:noFill/>
                        </a:ln>
                        <a:solidFill>
                          <a:sysClr val="windowText" lastClr="000000"/>
                        </a:solidFill>
                      </a:rPr>
                      <a:pPr>
                        <a:defRPr/>
                      </a:pPr>
                      <a:t>[SERIES NAME]</a:t>
                    </a:fld>
                    <a:endParaRPr lang="en-US" sz="1100"/>
                  </a:p>
                </c:rich>
              </c:tx>
              <c:spPr>
                <a:ln>
                  <a:noFill/>
                </a:ln>
              </c:spPr>
              <c:dLblPos val="r"/>
              <c:showLegendKey val="0"/>
              <c:showVal val="1"/>
              <c:showCatName val="0"/>
              <c:showSerName val="1"/>
              <c:showPercent val="0"/>
              <c:showBubbleSize val="0"/>
              <c:separator>
</c:separator>
              <c:extLst>
                <c:ext xmlns:c15="http://schemas.microsoft.com/office/drawing/2012/chart" uri="{CE6537A1-D6FC-4f65-9D91-7224C49458BB}">
                  <c15:spPr xmlns:c15="http://schemas.microsoft.com/office/drawing/2012/chart">
                    <a:prstGeom prst="rect">
                      <a:avLst/>
                    </a:prstGeom>
                  </c15:spPr>
                  <c15:dlblFieldTable/>
                  <c15:showDataLabelsRange val="0"/>
                </c:ext>
                <c:ext xmlns:c16="http://schemas.microsoft.com/office/drawing/2014/chart" uri="{C3380CC4-5D6E-409C-BE32-E72D297353CC}">
                  <c16:uniqueId val="{00000006-5EC1-415A-B637-78EB03BA4B9E}"/>
                </c:ext>
              </c:extLst>
            </c:dLbl>
            <c:dLbl>
              <c:idx val="20"/>
              <c:delete val="1"/>
              <c:extLst>
                <c:ext xmlns:c15="http://schemas.microsoft.com/office/drawing/2012/chart" uri="{CE6537A1-D6FC-4f65-9D91-7224C49458BB}"/>
                <c:ext xmlns:c16="http://schemas.microsoft.com/office/drawing/2014/chart" uri="{C3380CC4-5D6E-409C-BE32-E72D297353CC}">
                  <c16:uniqueId val="{00000017-5EC1-415A-B637-78EB03BA4B9E}"/>
                </c:ext>
              </c:extLst>
            </c:dLbl>
            <c:dLbl>
              <c:idx val="21"/>
              <c:delete val="1"/>
              <c:extLst>
                <c:ext xmlns:c15="http://schemas.microsoft.com/office/drawing/2012/chart" uri="{CE6537A1-D6FC-4f65-9D91-7224C49458BB}"/>
                <c:ext xmlns:c16="http://schemas.microsoft.com/office/drawing/2014/chart" uri="{C3380CC4-5D6E-409C-BE32-E72D297353CC}">
                  <c16:uniqueId val="{00000018-5EC1-415A-B637-78EB03BA4B9E}"/>
                </c:ext>
              </c:extLst>
            </c:dLbl>
            <c:dLbl>
              <c:idx val="22"/>
              <c:delete val="1"/>
              <c:extLst>
                <c:ext xmlns:c15="http://schemas.microsoft.com/office/drawing/2012/chart" uri="{CE6537A1-D6FC-4f65-9D91-7224C49458BB}"/>
                <c:ext xmlns:c16="http://schemas.microsoft.com/office/drawing/2014/chart" uri="{C3380CC4-5D6E-409C-BE32-E72D297353CC}">
                  <c16:uniqueId val="{00000019-5EC1-415A-B637-78EB03BA4B9E}"/>
                </c:ext>
              </c:extLst>
            </c:dLbl>
            <c:dLbl>
              <c:idx val="23"/>
              <c:delete val="1"/>
              <c:extLst>
                <c:ext xmlns:c15="http://schemas.microsoft.com/office/drawing/2012/chart" uri="{CE6537A1-D6FC-4f65-9D91-7224C49458BB}"/>
                <c:ext xmlns:c16="http://schemas.microsoft.com/office/drawing/2014/chart" uri="{C3380CC4-5D6E-409C-BE32-E72D297353CC}">
                  <c16:uniqueId val="{0000001A-5EC1-415A-B637-78EB03BA4B9E}"/>
                </c:ext>
              </c:extLst>
            </c:dLbl>
            <c:dLbl>
              <c:idx val="24"/>
              <c:layout>
                <c:manualLayout>
                  <c:x val="-1.8278033970853244E-2"/>
                  <c:y val="-0.84597701149425286"/>
                </c:manualLayout>
              </c:layout>
              <c:tx>
                <c:rich>
                  <a:bodyPr/>
                  <a:lstStyle/>
                  <a:p>
                    <a:fld id="{A1CE55CD-A1BC-4A4B-9870-C9AA79C3F7A7}" type="YVALUE">
                      <a:rPr lang="en-US" sz="1100"/>
                      <a:pPr/>
                      <a:t>[Y VALUE]</a:t>
                    </a:fld>
                    <a:endParaRPr lang="en-US"/>
                  </a:p>
                </c:rich>
              </c:tx>
              <c:dLblPos val="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5EC1-415A-B637-78EB03BA4B9E}"/>
                </c:ext>
              </c:extLst>
            </c:dLbl>
            <c:dLbl>
              <c:idx val="25"/>
              <c:delete val="1"/>
              <c:extLst>
                <c:ext xmlns:c15="http://schemas.microsoft.com/office/drawing/2012/chart" uri="{CE6537A1-D6FC-4f65-9D91-7224C49458BB}"/>
                <c:ext xmlns:c16="http://schemas.microsoft.com/office/drawing/2014/chart" uri="{C3380CC4-5D6E-409C-BE32-E72D297353CC}">
                  <c16:uniqueId val="{0000001B-5EC1-415A-B637-78EB03BA4B9E}"/>
                </c:ext>
              </c:extLst>
            </c:dLbl>
            <c:dLbl>
              <c:idx val="26"/>
              <c:delete val="1"/>
              <c:extLst>
                <c:ext xmlns:c15="http://schemas.microsoft.com/office/drawing/2012/chart" uri="{CE6537A1-D6FC-4f65-9D91-7224C49458BB}"/>
                <c:ext xmlns:c16="http://schemas.microsoft.com/office/drawing/2014/chart" uri="{C3380CC4-5D6E-409C-BE32-E72D297353CC}">
                  <c16:uniqueId val="{0000001C-5EC1-415A-B637-78EB03BA4B9E}"/>
                </c:ext>
              </c:extLst>
            </c:dLbl>
            <c:dLbl>
              <c:idx val="27"/>
              <c:delete val="1"/>
              <c:extLst>
                <c:ext xmlns:c15="http://schemas.microsoft.com/office/drawing/2012/chart" uri="{CE6537A1-D6FC-4f65-9D91-7224C49458BB}"/>
                <c:ext xmlns:c16="http://schemas.microsoft.com/office/drawing/2014/chart" uri="{C3380CC4-5D6E-409C-BE32-E72D297353CC}">
                  <c16:uniqueId val="{0000001D-5EC1-415A-B637-78EB03BA4B9E}"/>
                </c:ext>
              </c:extLst>
            </c:dLbl>
            <c:dLbl>
              <c:idx val="28"/>
              <c:delete val="1"/>
              <c:extLst>
                <c:ext xmlns:c15="http://schemas.microsoft.com/office/drawing/2012/chart" uri="{CE6537A1-D6FC-4f65-9D91-7224C49458BB}"/>
                <c:ext xmlns:c16="http://schemas.microsoft.com/office/drawing/2014/chart" uri="{C3380CC4-5D6E-409C-BE32-E72D297353CC}">
                  <c16:uniqueId val="{0000001E-5EC1-415A-B637-78EB03BA4B9E}"/>
                </c:ext>
              </c:extLst>
            </c:dLbl>
            <c:dLbl>
              <c:idx val="29"/>
              <c:layout>
                <c:manualLayout>
                  <c:x val="-1.6507338973066613E-2"/>
                  <c:y val="-0.84597701149425286"/>
                </c:manualLayout>
              </c:layout>
              <c:tx>
                <c:rich>
                  <a:bodyPr/>
                  <a:lstStyle/>
                  <a:p>
                    <a:fld id="{2D705DCE-33D1-4C19-8048-4151A96FB8A2}" type="YVALUE">
                      <a:rPr lang="en-US" sz="1100"/>
                      <a:pPr/>
                      <a:t>[Y VALUE]</a:t>
                    </a:fld>
                    <a:endParaRPr lang="en-US"/>
                  </a:p>
                </c:rich>
              </c:tx>
              <c:dLblPos val="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5EC1-415A-B637-78EB03BA4B9E}"/>
                </c:ext>
              </c:extLst>
            </c:dLbl>
            <c:dLbl>
              <c:idx val="30"/>
              <c:delete val="1"/>
              <c:extLst>
                <c:ext xmlns:c15="http://schemas.microsoft.com/office/drawing/2012/chart" uri="{CE6537A1-D6FC-4f65-9D91-7224C49458BB}"/>
                <c:ext xmlns:c16="http://schemas.microsoft.com/office/drawing/2014/chart" uri="{C3380CC4-5D6E-409C-BE32-E72D297353CC}">
                  <c16:uniqueId val="{0000001F-5EC1-415A-B637-78EB03BA4B9E}"/>
                </c:ext>
              </c:extLst>
            </c:dLbl>
            <c:dLbl>
              <c:idx val="31"/>
              <c:delete val="1"/>
              <c:extLst>
                <c:ext xmlns:c15="http://schemas.microsoft.com/office/drawing/2012/chart" uri="{CE6537A1-D6FC-4f65-9D91-7224C49458BB}"/>
                <c:ext xmlns:c16="http://schemas.microsoft.com/office/drawing/2014/chart" uri="{C3380CC4-5D6E-409C-BE32-E72D297353CC}">
                  <c16:uniqueId val="{00000020-5EC1-415A-B637-78EB03BA4B9E}"/>
                </c:ext>
              </c:extLst>
            </c:dLbl>
            <c:dLbl>
              <c:idx val="32"/>
              <c:delete val="1"/>
              <c:extLst>
                <c:ext xmlns:c15="http://schemas.microsoft.com/office/drawing/2012/chart" uri="{CE6537A1-D6FC-4f65-9D91-7224C49458BB}"/>
                <c:ext xmlns:c16="http://schemas.microsoft.com/office/drawing/2014/chart" uri="{C3380CC4-5D6E-409C-BE32-E72D297353CC}">
                  <c16:uniqueId val="{00000021-5EC1-415A-B637-78EB03BA4B9E}"/>
                </c:ext>
              </c:extLst>
            </c:dLbl>
            <c:dLbl>
              <c:idx val="33"/>
              <c:delete val="1"/>
              <c:extLst>
                <c:ext xmlns:c15="http://schemas.microsoft.com/office/drawing/2012/chart" uri="{CE6537A1-D6FC-4f65-9D91-7224C49458BB}"/>
                <c:ext xmlns:c16="http://schemas.microsoft.com/office/drawing/2014/chart" uri="{C3380CC4-5D6E-409C-BE32-E72D297353CC}">
                  <c16:uniqueId val="{00000022-5EC1-415A-B637-78EB03BA4B9E}"/>
                </c:ext>
              </c:extLst>
            </c:dLbl>
            <c:dLbl>
              <c:idx val="34"/>
              <c:layout>
                <c:manualLayout>
                  <c:x val="-1.5722656181921483E-2"/>
                  <c:y val="-0.84827586206896555"/>
                </c:manualLayout>
              </c:layout>
              <c:tx>
                <c:rich>
                  <a:bodyPr/>
                  <a:lstStyle/>
                  <a:p>
                    <a:fld id="{9DE2D7BE-6C3B-4018-A3CD-42889BB4A07A}" type="YVALUE">
                      <a:rPr lang="en-US" sz="1100"/>
                      <a:pPr/>
                      <a:t>[Y VALUE]</a:t>
                    </a:fld>
                    <a:endParaRPr lang="en-US"/>
                  </a:p>
                </c:rich>
              </c:tx>
              <c:dLblPos val="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EC1-415A-B637-78EB03BA4B9E}"/>
                </c:ext>
              </c:extLst>
            </c:dLbl>
            <c:spPr>
              <a:ln>
                <a:noFill/>
              </a:ln>
            </c:spPr>
            <c:dLblPos val="ct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31750">
                      <a:gradFill>
                        <a:gsLst>
                          <a:gs pos="0">
                            <a:schemeClr val="bg1">
                              <a:lumMod val="75000"/>
                            </a:schemeClr>
                          </a:gs>
                          <a:gs pos="50000">
                            <a:schemeClr val="bg1">
                              <a:alpha val="0"/>
                            </a:schemeClr>
                          </a:gs>
                        </a:gsLst>
                        <a:lin ang="5400000" scaled="1"/>
                      </a:gradFill>
                      <a:prstDash val="sysDash"/>
                      <a:headEnd type="arrow" w="sm" len="sm"/>
                      <a:tailEnd type="none" w="lg" len="lg"/>
                    </a:ln>
                  </c:spPr>
                </c15:leaderLines>
              </c:ext>
            </c:extLst>
          </c:dLbls>
          <c:yVal>
            <c:numRef>
              <c:f>Charts!$B$17:$AJ$17</c:f>
              <c:numCache>
                <c:formatCode>0%</c:formatCode>
                <c:ptCount val="35"/>
                <c:pt idx="0">
                  <c:v>0.99996163299999996</c:v>
                </c:pt>
                <c:pt idx="1">
                  <c:v>0.99983523701693733</c:v>
                </c:pt>
                <c:pt idx="2">
                  <c:v>0.99960319609022064</c:v>
                </c:pt>
                <c:pt idx="3">
                  <c:v>0.99924712185340592</c:v>
                </c:pt>
                <c:pt idx="4">
                  <c:v>0.99874748153473791</c:v>
                </c:pt>
                <c:pt idx="5">
                  <c:v>0.998083099681222</c:v>
                </c:pt>
                <c:pt idx="6">
                  <c:v>0.99722886064981775</c:v>
                </c:pt>
                <c:pt idx="7">
                  <c:v>0.99615574486009917</c:v>
                </c:pt>
                <c:pt idx="8">
                  <c:v>0.99482741530583918</c:v>
                </c:pt>
                <c:pt idx="9">
                  <c:v>0.99319950157679726</c:v>
                </c:pt>
                <c:pt idx="10">
                  <c:v>0.99121799838246205</c:v>
                </c:pt>
                <c:pt idx="11">
                  <c:v>0.98881675655130896</c:v>
                </c:pt>
                <c:pt idx="12">
                  <c:v>0.9859143452918312</c:v>
                </c:pt>
                <c:pt idx="13">
                  <c:v>0.98241210419155445</c:v>
                </c:pt>
                <c:pt idx="14">
                  <c:v>0.97819032730532018</c:v>
                </c:pt>
                <c:pt idx="15">
                  <c:v>0.97310260203699428</c:v>
                </c:pt>
                <c:pt idx="16">
                  <c:v>0.9669698673953957</c:v>
                </c:pt>
                <c:pt idx="17">
                  <c:v>0.95957624711566569</c:v>
                </c:pt>
                <c:pt idx="18">
                  <c:v>0.95066224378217001</c:v>
                </c:pt>
                <c:pt idx="19">
                  <c:v>0.93992377511669911</c:v>
                </c:pt>
                <c:pt idx="20">
                  <c:v>0.92700227811303371</c:v>
                </c:pt>
                <c:pt idx="21">
                  <c:v>0.91148548321280609</c:v>
                </c:pt>
                <c:pt idx="22">
                  <c:v>0.89292090976454652</c:v>
                </c:pt>
                <c:pt idx="23">
                  <c:v>0.87080594191333649</c:v>
                </c:pt>
                <c:pt idx="24">
                  <c:v>0.84461760735303204</c:v>
                </c:pt>
                <c:pt idx="25">
                  <c:v>0.81385103257623903</c:v>
                </c:pt>
                <c:pt idx="26">
                  <c:v>0.77804338575965404</c:v>
                </c:pt>
                <c:pt idx="27">
                  <c:v>0.73684107497042817</c:v>
                </c:pt>
                <c:pt idx="28">
                  <c:v>0.69008725233576884</c:v>
                </c:pt>
                <c:pt idx="29">
                  <c:v>0.63789372450640591</c:v>
                </c:pt>
                <c:pt idx="30">
                  <c:v>0.58067961668752732</c:v>
                </c:pt>
                <c:pt idx="31">
                  <c:v>0.51948750230649943</c:v>
                </c:pt>
                <c:pt idx="32">
                  <c:v>0.45590711083744506</c:v>
                </c:pt>
                <c:pt idx="33">
                  <c:v>0.39190625612894892</c:v>
                </c:pt>
                <c:pt idx="34">
                  <c:v>0.32953872142869245</c:v>
                </c:pt>
              </c:numCache>
            </c:numRef>
          </c:yVal>
          <c:smooth val="0"/>
          <c:extLst xmlns:c15="http://schemas.microsoft.com/office/drawing/2012/chart">
            <c:ext xmlns:c16="http://schemas.microsoft.com/office/drawing/2014/chart" uri="{C3380CC4-5D6E-409C-BE32-E72D297353CC}">
              <c16:uniqueId val="{00000000-F36A-4E4F-AAF8-E3BD2344B152}"/>
            </c:ext>
          </c:extLst>
        </c:ser>
        <c:dLbls>
          <c:showLegendKey val="0"/>
          <c:showVal val="0"/>
          <c:showCatName val="0"/>
          <c:showSerName val="0"/>
          <c:showPercent val="0"/>
          <c:showBubbleSize val="0"/>
        </c:dLbls>
        <c:axId val="508792048"/>
        <c:axId val="675182240"/>
      </c:scatterChart>
      <c:catAx>
        <c:axId val="553576880"/>
        <c:scaling>
          <c:orientation val="minMax"/>
        </c:scaling>
        <c:delete val="0"/>
        <c:axPos val="b"/>
        <c:numFmt formatCode="General" sourceLinked="1"/>
        <c:majorTickMark val="none"/>
        <c:minorTickMark val="none"/>
        <c:tickLblPos val="nextTo"/>
        <c:spPr>
          <a:solidFill>
            <a:schemeClr val="bg1">
              <a:lumMod val="95000"/>
              <a:alpha val="50000"/>
            </a:schemeClr>
          </a:solidFill>
          <a:ln w="19050" cap="flat" cmpd="sng" algn="ctr">
            <a:no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675180752"/>
        <c:crosses val="autoZero"/>
        <c:auto val="1"/>
        <c:lblAlgn val="ctr"/>
        <c:lblOffset val="100"/>
        <c:noMultiLvlLbl val="0"/>
      </c:catAx>
      <c:valAx>
        <c:axId val="67518075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noFill/>
              <a:round/>
            </a:ln>
            <a:effectLst/>
          </c:spPr>
        </c:min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3576880"/>
        <c:crosses val="autoZero"/>
        <c:crossBetween val="between"/>
      </c:valAx>
      <c:valAx>
        <c:axId val="675182240"/>
        <c:scaling>
          <c:orientation val="minMax"/>
        </c:scaling>
        <c:delete val="0"/>
        <c:axPos val="r"/>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792048"/>
        <c:crosses val="max"/>
        <c:crossBetween val="between"/>
      </c:valAx>
      <c:catAx>
        <c:axId val="508792048"/>
        <c:scaling>
          <c:orientation val="minMax"/>
        </c:scaling>
        <c:delete val="1"/>
        <c:axPos val="b"/>
        <c:numFmt formatCode="General" sourceLinked="1"/>
        <c:majorTickMark val="out"/>
        <c:minorTickMark val="none"/>
        <c:tickLblPos val="nextTo"/>
        <c:crossAx val="675182240"/>
        <c:crosses val="autoZero"/>
        <c:auto val="1"/>
        <c:lblAlgn val="ctr"/>
        <c:lblOffset val="100"/>
        <c:noMultiLvlLbl val="0"/>
      </c:catAx>
      <c:spPr>
        <a:noFill/>
        <a:ln>
          <a:noFill/>
        </a:ln>
        <a:effectLst/>
      </c:spPr>
    </c:plotArea>
    <c:legend>
      <c:legendPos val="r"/>
      <c:legendEntry>
        <c:idx val="9"/>
        <c:delete val="1"/>
      </c:legendEntry>
      <c:layout>
        <c:manualLayout>
          <c:xMode val="edge"/>
          <c:yMode val="edge"/>
          <c:x val="0.88496659033158709"/>
          <c:y val="0"/>
          <c:w val="0.11412178059415878"/>
          <c:h val="0.9994470691163605"/>
        </c:manualLayout>
      </c:layout>
      <c:overlay val="0"/>
      <c:spPr>
        <a:solidFill>
          <a:schemeClr val="bg1">
            <a:lumMod val="95000"/>
            <a:alpha val="50000"/>
          </a:schemeClr>
        </a:solidFill>
        <a:ln w="6350">
          <a:solidFill>
            <a:schemeClr val="bg2"/>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bg1"/>
            </a:solidFill>
          </c:spPr>
          <c:dPt>
            <c:idx val="0"/>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1-4437-4D77-8DF7-F75A6E5C1D9E}"/>
              </c:ext>
            </c:extLst>
          </c:dPt>
          <c:dPt>
            <c:idx val="1"/>
            <c:bubble3D val="0"/>
            <c:spPr>
              <a:solidFill>
                <a:schemeClr val="accent1">
                  <a:lumMod val="75000"/>
                </a:schemeClr>
              </a:solidFill>
              <a:ln w="19050">
                <a:solidFill>
                  <a:schemeClr val="lt1"/>
                </a:solidFill>
              </a:ln>
              <a:effectLst/>
            </c:spPr>
            <c:extLst>
              <c:ext xmlns:c16="http://schemas.microsoft.com/office/drawing/2014/chart" uri="{C3380CC4-5D6E-409C-BE32-E72D297353CC}">
                <c16:uniqueId val="{00000003-4437-4D77-8DF7-F75A6E5C1D9E}"/>
              </c:ext>
            </c:extLst>
          </c:dPt>
          <c:dPt>
            <c:idx val="2"/>
            <c:bubble3D val="0"/>
            <c:spPr>
              <a:solidFill>
                <a:schemeClr val="accent1">
                  <a:lumMod val="50000"/>
                </a:schemeClr>
              </a:solidFill>
              <a:ln w="19050">
                <a:solidFill>
                  <a:schemeClr val="lt1"/>
                </a:solidFill>
              </a:ln>
              <a:effectLst/>
            </c:spPr>
            <c:extLst>
              <c:ext xmlns:c16="http://schemas.microsoft.com/office/drawing/2014/chart" uri="{C3380CC4-5D6E-409C-BE32-E72D297353CC}">
                <c16:uniqueId val="{00000005-4437-4D77-8DF7-F75A6E5C1D9E}"/>
              </c:ext>
            </c:extLst>
          </c:dPt>
          <c:dPt>
            <c:idx val="3"/>
            <c:bubble3D val="0"/>
            <c:spPr>
              <a:solidFill>
                <a:schemeClr val="accent1">
                  <a:lumMod val="75000"/>
                </a:schemeClr>
              </a:solidFill>
              <a:ln w="19050">
                <a:solidFill>
                  <a:schemeClr val="lt1"/>
                </a:solidFill>
              </a:ln>
              <a:effectLst/>
            </c:spPr>
            <c:extLst>
              <c:ext xmlns:c16="http://schemas.microsoft.com/office/drawing/2014/chart" uri="{C3380CC4-5D6E-409C-BE32-E72D297353CC}">
                <c16:uniqueId val="{00000007-4437-4D77-8DF7-F75A6E5C1D9E}"/>
              </c:ext>
            </c:extLst>
          </c:dPt>
          <c:dPt>
            <c:idx val="4"/>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09-4437-4D77-8DF7-F75A6E5C1D9E}"/>
              </c:ext>
            </c:extLst>
          </c:dPt>
          <c:dPt>
            <c:idx val="5"/>
            <c:bubble3D val="0"/>
            <c:spPr>
              <a:solidFill>
                <a:schemeClr val="accent1">
                  <a:lumMod val="40000"/>
                  <a:lumOff val="60000"/>
                </a:schemeClr>
              </a:solidFill>
              <a:ln w="19050">
                <a:solidFill>
                  <a:schemeClr val="lt1"/>
                </a:solidFill>
              </a:ln>
              <a:effectLst/>
            </c:spPr>
            <c:extLst>
              <c:ext xmlns:c16="http://schemas.microsoft.com/office/drawing/2014/chart" uri="{C3380CC4-5D6E-409C-BE32-E72D297353CC}">
                <c16:uniqueId val="{0000000B-4437-4D77-8DF7-F75A6E5C1D9E}"/>
              </c:ext>
            </c:extLst>
          </c:dPt>
          <c:dPt>
            <c:idx val="6"/>
            <c:bubble3D val="0"/>
            <c:spPr>
              <a:solidFill>
                <a:schemeClr val="accent1">
                  <a:lumMod val="20000"/>
                  <a:lumOff val="80000"/>
                </a:schemeClr>
              </a:solidFill>
              <a:ln w="19050">
                <a:solidFill>
                  <a:schemeClr val="lt1"/>
                </a:solidFill>
              </a:ln>
              <a:effectLst/>
            </c:spPr>
            <c:extLst>
              <c:ext xmlns:c16="http://schemas.microsoft.com/office/drawing/2014/chart" uri="{C3380CC4-5D6E-409C-BE32-E72D297353CC}">
                <c16:uniqueId val="{0000000D-4437-4D77-8DF7-F75A6E5C1D9E}"/>
              </c:ext>
            </c:extLst>
          </c:dPt>
          <c:dPt>
            <c:idx val="7"/>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F-4437-4D77-8DF7-F75A6E5C1D9E}"/>
              </c:ext>
            </c:extLst>
          </c:dPt>
          <c:dPt>
            <c:idx val="8"/>
            <c:bubble3D val="0"/>
            <c:spPr>
              <a:solidFill>
                <a:schemeClr val="bg1"/>
              </a:solidFill>
              <a:ln w="19050">
                <a:solidFill>
                  <a:schemeClr val="lt1"/>
                </a:solidFill>
              </a:ln>
              <a:effectLst/>
            </c:spPr>
            <c:extLst>
              <c:ext xmlns:c16="http://schemas.microsoft.com/office/drawing/2014/chart" uri="{C3380CC4-5D6E-409C-BE32-E72D297353CC}">
                <c16:uniqueId val="{00000011-3D11-4403-9A4D-739DF74C30D7}"/>
              </c:ext>
            </c:extLst>
          </c:dPt>
          <c:dPt>
            <c:idx val="9"/>
            <c:bubble3D val="0"/>
            <c:spPr>
              <a:solidFill>
                <a:schemeClr val="bg1"/>
              </a:solidFill>
              <a:ln w="19050">
                <a:solidFill>
                  <a:schemeClr val="lt1"/>
                </a:solidFill>
              </a:ln>
              <a:effectLst/>
            </c:spPr>
            <c:extLst>
              <c:ext xmlns:c16="http://schemas.microsoft.com/office/drawing/2014/chart" uri="{C3380CC4-5D6E-409C-BE32-E72D297353CC}">
                <c16:uniqueId val="{00000013-3D11-4403-9A4D-739DF74C30D7}"/>
              </c:ext>
            </c:extLst>
          </c:dPt>
          <c:dPt>
            <c:idx val="10"/>
            <c:bubble3D val="0"/>
            <c:spPr>
              <a:solidFill>
                <a:schemeClr val="accent2">
                  <a:lumMod val="20000"/>
                  <a:lumOff val="80000"/>
                </a:schemeClr>
              </a:solidFill>
              <a:ln w="19050">
                <a:solidFill>
                  <a:schemeClr val="lt1"/>
                </a:solidFill>
              </a:ln>
              <a:effectLst/>
            </c:spPr>
            <c:extLst>
              <c:ext xmlns:c16="http://schemas.microsoft.com/office/drawing/2014/chart" uri="{C3380CC4-5D6E-409C-BE32-E72D297353CC}">
                <c16:uniqueId val="{00000015-3D11-4403-9A4D-739DF74C30D7}"/>
              </c:ext>
            </c:extLst>
          </c:dPt>
          <c:dPt>
            <c:idx val="11"/>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17-4731-4DD8-B64E-D18DB192F570}"/>
              </c:ext>
            </c:extLst>
          </c:dPt>
          <c:dLbls>
            <c:spPr>
              <a:solidFill>
                <a:schemeClr val="bg1">
                  <a:alpha val="50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n-US"/>
              </a:p>
            </c:txPr>
            <c:showLegendKey val="0"/>
            <c:showVal val="0"/>
            <c:showCatName val="1"/>
            <c:showSerName val="0"/>
            <c:showPercent val="1"/>
            <c:showBubbleSize val="0"/>
            <c:showLeaderLines val="0"/>
            <c:extLst>
              <c:ext xmlns:c15="http://schemas.microsoft.com/office/drawing/2012/chart" uri="{CE6537A1-D6FC-4f65-9D91-7224C49458BB}"/>
            </c:extLst>
          </c:dLbls>
          <c:cat>
            <c:strRef>
              <c:f>'Total Expenses'!$A$4:$A$15</c:f>
              <c:strCache>
                <c:ptCount val="12"/>
                <c:pt idx="0">
                  <c:v>Housing</c:v>
                </c:pt>
                <c:pt idx="1">
                  <c:v>Transportation</c:v>
                </c:pt>
                <c:pt idx="2">
                  <c:v>Insurance Premiums</c:v>
                </c:pt>
                <c:pt idx="3">
                  <c:v>Personal Care</c:v>
                </c:pt>
                <c:pt idx="4">
                  <c:v>Food &amp; Drink</c:v>
                </c:pt>
                <c:pt idx="5">
                  <c:v>Travel</c:v>
                </c:pt>
                <c:pt idx="6">
                  <c:v>Entertainment</c:v>
                </c:pt>
                <c:pt idx="7">
                  <c:v>Gifts &amp; Donations</c:v>
                </c:pt>
                <c:pt idx="9">
                  <c:v>Nondiscretionary Expenses</c:v>
                </c:pt>
                <c:pt idx="10">
                  <c:v>Health Care</c:v>
                </c:pt>
                <c:pt idx="11">
                  <c:v>Debt Payments</c:v>
                </c:pt>
              </c:strCache>
            </c:strRef>
          </c:cat>
          <c:val>
            <c:numRef>
              <c:f>'Total Expenses'!$B$4:$B$15</c:f>
              <c:numCache>
                <c:formatCode>_("$"* #,##0_);_("$"* \(#,##0\);_("$"* "-"_);_(@_)</c:formatCode>
                <c:ptCount val="12"/>
                <c:pt idx="0">
                  <c:v>0</c:v>
                </c:pt>
                <c:pt idx="1">
                  <c:v>0</c:v>
                </c:pt>
                <c:pt idx="2">
                  <c:v>675</c:v>
                </c:pt>
                <c:pt idx="3">
                  <c:v>0</c:v>
                </c:pt>
                <c:pt idx="4">
                  <c:v>0</c:v>
                </c:pt>
                <c:pt idx="5">
                  <c:v>0</c:v>
                </c:pt>
                <c:pt idx="6">
                  <c:v>0</c:v>
                </c:pt>
                <c:pt idx="7">
                  <c:v>0</c:v>
                </c:pt>
                <c:pt idx="10">
                  <c:v>1816.6666666666667</c:v>
                </c:pt>
                <c:pt idx="11">
                  <c:v>0</c:v>
                </c:pt>
              </c:numCache>
            </c:numRef>
          </c:val>
          <c:extLst>
            <c:ext xmlns:c16="http://schemas.microsoft.com/office/drawing/2014/chart" uri="{C3380CC4-5D6E-409C-BE32-E72D297353CC}">
              <c16:uniqueId val="{00000000-33D2-4419-876B-DB9F7A6A2D3B}"/>
            </c:ext>
          </c:extLst>
        </c:ser>
        <c:dLbls>
          <c:showLegendKey val="0"/>
          <c:showVal val="0"/>
          <c:showCatName val="0"/>
          <c:showSerName val="0"/>
          <c:showPercent val="0"/>
          <c:showBubbleSize val="0"/>
          <c:showLeaderLines val="0"/>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B$41" lockText="1" noThreeD="1"/>
</file>

<file path=xl/ctrlProps/ctrlProp2.xml><?xml version="1.0" encoding="utf-8"?>
<formControlPr xmlns="http://schemas.microsoft.com/office/spreadsheetml/2009/9/main" objectType="CheckBox" fmlaLink="$B$42" lockText="1" noThreeD="1"/>
</file>

<file path=xl/ctrlProps/ctrlProp3.xml><?xml version="1.0" encoding="utf-8"?>
<formControlPr xmlns="http://schemas.microsoft.com/office/spreadsheetml/2009/9/main" objectType="CheckBox" fmlaLink="$B$43" lockText="1" noThreeD="1"/>
</file>

<file path=xl/ctrlProps/ctrlProp4.xml><?xml version="1.0" encoding="utf-8"?>
<formControlPr xmlns="http://schemas.microsoft.com/office/spreadsheetml/2009/9/main" objectType="CheckBox" fmlaLink="$B$44" lockText="1" noThreeD="1"/>
</file>

<file path=xl/ctrlProps/ctrlProp5.xml><?xml version="1.0" encoding="utf-8"?>
<formControlPr xmlns="http://schemas.microsoft.com/office/spreadsheetml/2009/9/main" objectType="CheckBox" fmlaLink="$B$45" lockText="1" noThreeD="1"/>
</file>

<file path=xl/ctrlProps/ctrlProp6.xml><?xml version="1.0" encoding="utf-8"?>
<formControlPr xmlns="http://schemas.microsoft.com/office/spreadsheetml/2009/9/main" objectType="CheckBox" fmlaLink="$B$46" lockText="1" noThreeD="1"/>
</file>

<file path=xl/drawings/_rels/drawing1.xml.rels><?xml version="1.0" encoding="UTF-8" standalone="yes"?>
<Relationships xmlns="http://schemas.openxmlformats.org/package/2006/relationships"><Relationship Id="rId3" Type="http://schemas.openxmlformats.org/officeDocument/2006/relationships/hyperlink" Target="#'Total Expenses'!A3"/><Relationship Id="rId2" Type="http://schemas.openxmlformats.org/officeDocument/2006/relationships/hyperlink" Target="#Assumptions!A4"/><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hyperlink" Target="#'Total Savings'!A4"/><Relationship Id="rId4" Type="http://schemas.openxmlformats.org/officeDocument/2006/relationships/hyperlink" Target="#'Total Income'!A4"/></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0</xdr:rowOff>
    </xdr:from>
    <xdr:to>
      <xdr:col>38</xdr:col>
      <xdr:colOff>0</xdr:colOff>
      <xdr:row>34</xdr:row>
      <xdr:rowOff>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1</xdr:row>
      <xdr:rowOff>0</xdr:rowOff>
    </xdr:from>
    <xdr:to>
      <xdr:col>36</xdr:col>
      <xdr:colOff>0</xdr:colOff>
      <xdr:row>2</xdr:row>
      <xdr:rowOff>0</xdr:rowOff>
    </xdr:to>
    <xdr:sp macro="" textlink="">
      <xdr:nvSpPr>
        <xdr:cNvPr id="3" name="Rectangle: Rounded Corners 2">
          <a:hlinkClick xmlns:r="http://schemas.openxmlformats.org/officeDocument/2006/relationships" r:id="rId2" tooltip="edit Assumptions"/>
          <a:extLst>
            <a:ext uri="{FF2B5EF4-FFF2-40B4-BE49-F238E27FC236}">
              <a16:creationId xmlns:a16="http://schemas.microsoft.com/office/drawing/2014/main" id="{00000000-0008-0000-0100-000003000000}"/>
            </a:ext>
          </a:extLst>
        </xdr:cNvPr>
        <xdr:cNvSpPr/>
      </xdr:nvSpPr>
      <xdr:spPr>
        <a:xfrm>
          <a:off x="10906125" y="190500"/>
          <a:ext cx="942975" cy="381000"/>
        </a:xfrm>
        <a:prstGeom prst="roundRect">
          <a:avLst/>
        </a:prstGeom>
        <a:solidFill>
          <a:schemeClr val="bg1">
            <a:lumMod val="9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chemeClr val="tx1"/>
              </a:solidFill>
            </a:rPr>
            <a:t>assumptions</a:t>
          </a:r>
        </a:p>
      </xdr:txBody>
    </xdr:sp>
    <xdr:clientData/>
  </xdr:twoCellAnchor>
  <xdr:twoCellAnchor>
    <xdr:from>
      <xdr:col>29</xdr:col>
      <xdr:colOff>314324</xdr:colOff>
      <xdr:row>1</xdr:row>
      <xdr:rowOff>0</xdr:rowOff>
    </xdr:from>
    <xdr:to>
      <xdr:col>32</xdr:col>
      <xdr:colOff>314324</xdr:colOff>
      <xdr:row>2</xdr:row>
      <xdr:rowOff>0</xdr:rowOff>
    </xdr:to>
    <xdr:sp macro="" textlink="">
      <xdr:nvSpPr>
        <xdr:cNvPr id="4" name="Rectangle: Rounded Corners 3">
          <a:hlinkClick xmlns:r="http://schemas.openxmlformats.org/officeDocument/2006/relationships" r:id="rId3" tooltip="edit Expenses"/>
          <a:extLst>
            <a:ext uri="{FF2B5EF4-FFF2-40B4-BE49-F238E27FC236}">
              <a16:creationId xmlns:a16="http://schemas.microsoft.com/office/drawing/2014/main" id="{00000000-0008-0000-0100-000004000000}"/>
            </a:ext>
          </a:extLst>
        </xdr:cNvPr>
        <xdr:cNvSpPr/>
      </xdr:nvSpPr>
      <xdr:spPr>
        <a:xfrm>
          <a:off x="9963149" y="190500"/>
          <a:ext cx="942975" cy="381000"/>
        </a:xfrm>
        <a:prstGeom prst="roundRect">
          <a:avLst/>
        </a:prstGeom>
        <a:solidFill>
          <a:schemeClr val="bg1">
            <a:lumMod val="9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chemeClr val="tx1"/>
              </a:solidFill>
            </a:rPr>
            <a:t>expenses</a:t>
          </a:r>
        </a:p>
      </xdr:txBody>
    </xdr:sp>
    <xdr:clientData/>
  </xdr:twoCellAnchor>
  <xdr:twoCellAnchor>
    <xdr:from>
      <xdr:col>27</xdr:col>
      <xdr:colOff>0</xdr:colOff>
      <xdr:row>1</xdr:row>
      <xdr:rowOff>0</xdr:rowOff>
    </xdr:from>
    <xdr:to>
      <xdr:col>30</xdr:col>
      <xdr:colOff>0</xdr:colOff>
      <xdr:row>2</xdr:row>
      <xdr:rowOff>0</xdr:rowOff>
    </xdr:to>
    <xdr:sp macro="" textlink="">
      <xdr:nvSpPr>
        <xdr:cNvPr id="5" name="Rectangle: Rounded Corners 4">
          <a:hlinkClick xmlns:r="http://schemas.openxmlformats.org/officeDocument/2006/relationships" r:id="rId4" tooltip="edit Income"/>
          <a:extLst>
            <a:ext uri="{FF2B5EF4-FFF2-40B4-BE49-F238E27FC236}">
              <a16:creationId xmlns:a16="http://schemas.microsoft.com/office/drawing/2014/main" id="{00000000-0008-0000-0100-000005000000}"/>
            </a:ext>
          </a:extLst>
        </xdr:cNvPr>
        <xdr:cNvSpPr/>
      </xdr:nvSpPr>
      <xdr:spPr>
        <a:xfrm>
          <a:off x="9020175" y="190500"/>
          <a:ext cx="942975" cy="381000"/>
        </a:xfrm>
        <a:prstGeom prst="roundRect">
          <a:avLst/>
        </a:prstGeom>
        <a:solidFill>
          <a:schemeClr val="bg1">
            <a:lumMod val="9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chemeClr val="tx1"/>
              </a:solidFill>
            </a:rPr>
            <a:t>income</a:t>
          </a:r>
        </a:p>
      </xdr:txBody>
    </xdr:sp>
    <xdr:clientData/>
  </xdr:twoCellAnchor>
  <xdr:twoCellAnchor>
    <xdr:from>
      <xdr:col>24</xdr:col>
      <xdr:colOff>0</xdr:colOff>
      <xdr:row>1</xdr:row>
      <xdr:rowOff>0</xdr:rowOff>
    </xdr:from>
    <xdr:to>
      <xdr:col>27</xdr:col>
      <xdr:colOff>0</xdr:colOff>
      <xdr:row>2</xdr:row>
      <xdr:rowOff>0</xdr:rowOff>
    </xdr:to>
    <xdr:sp macro="" textlink="">
      <xdr:nvSpPr>
        <xdr:cNvPr id="6" name="Rectangle: Rounded Corners 5">
          <a:hlinkClick xmlns:r="http://schemas.openxmlformats.org/officeDocument/2006/relationships" r:id="rId5" tooltip="edit Savings"/>
          <a:extLst>
            <a:ext uri="{FF2B5EF4-FFF2-40B4-BE49-F238E27FC236}">
              <a16:creationId xmlns:a16="http://schemas.microsoft.com/office/drawing/2014/main" id="{00000000-0008-0000-0100-000006000000}"/>
            </a:ext>
          </a:extLst>
        </xdr:cNvPr>
        <xdr:cNvSpPr/>
      </xdr:nvSpPr>
      <xdr:spPr>
        <a:xfrm>
          <a:off x="8077200" y="190500"/>
          <a:ext cx="942975" cy="381000"/>
        </a:xfrm>
        <a:prstGeom prst="roundRect">
          <a:avLst/>
        </a:prstGeom>
        <a:solidFill>
          <a:schemeClr val="bg1">
            <a:lumMod val="95000"/>
          </a:schemeClr>
        </a:solidFill>
        <a:ln>
          <a:solidFill>
            <a:schemeClr val="bg1">
              <a:lumMod val="6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chemeClr val="tx1"/>
              </a:solidFill>
            </a:rPr>
            <a:t>savings</a:t>
          </a:r>
        </a:p>
      </xdr:txBody>
    </xdr:sp>
    <xdr:clientData/>
  </xdr:twoCellAnchor>
  <xdr:twoCellAnchor editAs="oneCell">
    <xdr:from>
      <xdr:col>1</xdr:col>
      <xdr:colOff>0</xdr:colOff>
      <xdr:row>4</xdr:row>
      <xdr:rowOff>0</xdr:rowOff>
    </xdr:from>
    <xdr:to>
      <xdr:col>24</xdr:col>
      <xdr:colOff>86359</xdr:colOff>
      <xdr:row>4</xdr:row>
      <xdr:rowOff>475529</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6"/>
        <a:stretch>
          <a:fillRect/>
        </a:stretch>
      </xdr:blipFill>
      <xdr:spPr>
        <a:xfrm>
          <a:off x="847725" y="952500"/>
          <a:ext cx="7315834" cy="47552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0</xdr:colOff>
          <xdr:row>41</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0</xdr:colOff>
          <xdr:row>42</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0</xdr:colOff>
          <xdr:row>43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0</xdr:colOff>
          <xdr:row>44</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0</xdr:colOff>
          <xdr:row>45</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0</xdr:colOff>
          <xdr:row>46</xdr:row>
          <xdr:rowOff>0</xdr:rowOff>
        </xdr:to>
        <xdr:sp macro="" textlink="">
          <xdr:nvSpPr>
            <xdr:cNvPr id="1030" name="Check Box 6" descr="enable what-if?"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13</xdr:col>
      <xdr:colOff>0</xdr:colOff>
      <xdr:row>13</xdr:row>
      <xdr:rowOff>0</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ustom 31">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3AC9D9B1-C308-4AD0-955C-039DCD73ACD2}">
  <we:reference id="wa200001306" version="2.3.0.1" store="en-US" storeType="OMEX"/>
  <we:alternateReferences>
    <we:reference id="WA200001306" version="2.3.0.1" store=""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FF0A7-372B-447B-AC96-1361E720B358}">
  <sheetPr codeName="Sheet1"/>
  <dimension ref="A1:F33"/>
  <sheetViews>
    <sheetView showGridLines="0" workbookViewId="0">
      <selection activeCell="B4" sqref="B4:B5"/>
    </sheetView>
  </sheetViews>
  <sheetFormatPr defaultRowHeight="12.75" x14ac:dyDescent="0.2"/>
  <cols>
    <col min="1" max="1" width="32.7109375" customWidth="1"/>
    <col min="2" max="2" width="6.7109375" customWidth="1"/>
    <col min="3" max="3" width="72.7109375" customWidth="1"/>
    <col min="4" max="5" width="36.7109375" customWidth="1"/>
    <col min="6" max="6" width="16.7109375" customWidth="1"/>
  </cols>
  <sheetData>
    <row r="1" spans="1:6" ht="36" customHeight="1" x14ac:dyDescent="0.2">
      <c r="A1" s="9" t="s">
        <v>215</v>
      </c>
      <c r="B1" s="9"/>
      <c r="C1" s="8"/>
      <c r="D1" s="6"/>
    </row>
    <row r="2" spans="1:6" ht="36" customHeight="1" x14ac:dyDescent="0.2">
      <c r="A2" s="10"/>
      <c r="B2" s="10"/>
      <c r="C2" s="10"/>
      <c r="D2" s="6"/>
    </row>
    <row r="3" spans="1:6" ht="24" customHeight="1" x14ac:dyDescent="0.2">
      <c r="A3" s="91" t="s">
        <v>235</v>
      </c>
      <c r="B3" s="91"/>
      <c r="C3" s="116"/>
      <c r="D3" s="6"/>
      <c r="E3" s="6"/>
      <c r="F3" s="6"/>
    </row>
    <row r="4" spans="1:6" ht="24" customHeight="1" x14ac:dyDescent="0.2">
      <c r="A4" s="275" t="s">
        <v>283</v>
      </c>
      <c r="B4" s="277" t="str">
        <f t="shared" ref="B4" si="0">"go →"</f>
        <v>go →</v>
      </c>
      <c r="C4" s="279" t="s">
        <v>287</v>
      </c>
      <c r="D4" s="6"/>
      <c r="E4" s="6"/>
      <c r="F4" s="6"/>
    </row>
    <row r="5" spans="1:6" ht="24" customHeight="1" x14ac:dyDescent="0.2">
      <c r="A5" s="276"/>
      <c r="B5" s="278"/>
      <c r="C5" s="276"/>
      <c r="D5" s="6"/>
      <c r="E5" s="6"/>
      <c r="F5" s="6"/>
    </row>
    <row r="6" spans="1:6" ht="24" customHeight="1" x14ac:dyDescent="0.2">
      <c r="A6" s="86"/>
      <c r="B6" s="86"/>
      <c r="C6" s="117"/>
      <c r="D6" s="6"/>
      <c r="E6" s="6"/>
      <c r="F6" s="6"/>
    </row>
    <row r="7" spans="1:6" ht="24" customHeight="1" x14ac:dyDescent="0.2">
      <c r="A7" s="91" t="s">
        <v>233</v>
      </c>
      <c r="B7" s="91"/>
      <c r="C7" s="116"/>
      <c r="D7" s="6"/>
      <c r="E7" s="6"/>
      <c r="F7" s="6"/>
    </row>
    <row r="8" spans="1:6" ht="24" customHeight="1" x14ac:dyDescent="0.2">
      <c r="A8" s="62" t="s">
        <v>24</v>
      </c>
      <c r="B8" s="160" t="str">
        <f>"go →"</f>
        <v>go →</v>
      </c>
      <c r="C8" s="90" t="s">
        <v>285</v>
      </c>
      <c r="D8" s="6"/>
      <c r="E8" s="6"/>
      <c r="F8" s="6"/>
    </row>
    <row r="9" spans="1:6" ht="24" customHeight="1" x14ac:dyDescent="0.2">
      <c r="A9" s="62" t="s">
        <v>112</v>
      </c>
      <c r="B9" s="161" t="str">
        <f t="shared" ref="B9:B11" si="1">"go →"</f>
        <v>go →</v>
      </c>
      <c r="C9" s="90" t="s">
        <v>286</v>
      </c>
      <c r="D9" s="6"/>
      <c r="E9" s="6"/>
      <c r="F9" s="6"/>
    </row>
    <row r="10" spans="1:6" ht="24" customHeight="1" x14ac:dyDescent="0.2">
      <c r="A10" s="62" t="s">
        <v>9</v>
      </c>
      <c r="B10" s="161" t="str">
        <f t="shared" si="1"/>
        <v>go →</v>
      </c>
      <c r="C10" s="90" t="s">
        <v>367</v>
      </c>
      <c r="D10" s="6"/>
      <c r="E10" s="6"/>
      <c r="F10" s="6"/>
    </row>
    <row r="11" spans="1:6" ht="24" customHeight="1" x14ac:dyDescent="0.2">
      <c r="A11" s="62" t="s">
        <v>48</v>
      </c>
      <c r="B11" s="162" t="str">
        <f t="shared" si="1"/>
        <v>go →</v>
      </c>
      <c r="C11" s="90" t="s">
        <v>284</v>
      </c>
      <c r="D11" s="6"/>
      <c r="E11" s="6"/>
      <c r="F11" s="6"/>
    </row>
    <row r="12" spans="1:6" ht="24" customHeight="1" x14ac:dyDescent="0.2">
      <c r="A12" s="86"/>
      <c r="B12" s="86"/>
      <c r="C12" s="117"/>
      <c r="D12" s="6"/>
      <c r="E12" s="6"/>
      <c r="F12" s="6"/>
    </row>
    <row r="13" spans="1:6" ht="24" customHeight="1" x14ac:dyDescent="0.2">
      <c r="A13" s="91" t="s">
        <v>236</v>
      </c>
      <c r="B13" s="91"/>
      <c r="C13" s="116"/>
      <c r="D13" s="6"/>
      <c r="E13" s="6"/>
      <c r="F13" s="6"/>
    </row>
    <row r="14" spans="1:6" ht="24" customHeight="1" x14ac:dyDescent="0.2">
      <c r="A14" s="72" t="str">
        <f>'Expenses (1)'!A1</f>
        <v>Housing</v>
      </c>
      <c r="B14" s="280" t="s">
        <v>122</v>
      </c>
      <c r="C14" s="281"/>
      <c r="D14" s="6"/>
      <c r="E14" s="6"/>
      <c r="F14" s="6"/>
    </row>
    <row r="15" spans="1:6" ht="24" customHeight="1" x14ac:dyDescent="0.2">
      <c r="A15" s="62" t="str">
        <f>'Expenses (2)'!A1</f>
        <v>Transportation</v>
      </c>
      <c r="B15" s="271" t="s">
        <v>291</v>
      </c>
      <c r="C15" s="272"/>
      <c r="D15" s="6"/>
      <c r="E15" s="6"/>
      <c r="F15" s="6"/>
    </row>
    <row r="16" spans="1:6" ht="24" customHeight="1" x14ac:dyDescent="0.2">
      <c r="A16" s="62" t="str">
        <f>'Expenses (3)'!A1</f>
        <v>Insurance Premiums</v>
      </c>
      <c r="B16" s="150"/>
      <c r="C16" s="60"/>
      <c r="D16" s="6"/>
      <c r="E16" s="6"/>
      <c r="F16" s="6"/>
    </row>
    <row r="17" spans="1:6" ht="24" customHeight="1" x14ac:dyDescent="0.2">
      <c r="A17" s="62" t="str">
        <f>'Expenses (4)'!A1</f>
        <v>Personal Care</v>
      </c>
      <c r="B17" s="150"/>
      <c r="C17" s="60"/>
      <c r="D17" s="6"/>
      <c r="E17" s="6"/>
      <c r="F17" s="6"/>
    </row>
    <row r="18" spans="1:6" ht="24" customHeight="1" x14ac:dyDescent="0.2">
      <c r="A18" s="62" t="str">
        <f>'Expenses (5)'!A1</f>
        <v>Food &amp; Drink</v>
      </c>
      <c r="B18" s="150"/>
      <c r="C18" s="60"/>
      <c r="D18" s="6"/>
      <c r="E18" s="6"/>
      <c r="F18" s="6"/>
    </row>
    <row r="19" spans="1:6" ht="24" customHeight="1" x14ac:dyDescent="0.2">
      <c r="A19" s="62" t="str">
        <f>'Expenses (6)'!A1</f>
        <v>Travel</v>
      </c>
      <c r="B19" s="150"/>
      <c r="C19" s="60"/>
      <c r="D19" s="6"/>
      <c r="E19" s="6"/>
      <c r="F19" s="6"/>
    </row>
    <row r="20" spans="1:6" ht="24" customHeight="1" x14ac:dyDescent="0.2">
      <c r="A20" s="62" t="str">
        <f>'Expenses (7)'!A1</f>
        <v>Entertainment</v>
      </c>
      <c r="B20" s="150"/>
      <c r="C20" s="60"/>
      <c r="D20" s="6"/>
      <c r="E20" s="6"/>
      <c r="F20" s="6"/>
    </row>
    <row r="21" spans="1:6" ht="24" customHeight="1" x14ac:dyDescent="0.2">
      <c r="A21" s="64" t="str">
        <f>'Expenses (8)'!A1</f>
        <v>Gifts &amp; Donations</v>
      </c>
      <c r="B21" s="150"/>
      <c r="C21" s="60"/>
      <c r="D21" s="6"/>
      <c r="E21" s="6"/>
      <c r="F21" s="6"/>
    </row>
    <row r="22" spans="1:6" ht="24" customHeight="1" x14ac:dyDescent="0.2">
      <c r="A22" s="63" t="str">
        <f>'Debt Payments'!A1</f>
        <v>Debt Payments</v>
      </c>
      <c r="B22" s="150"/>
      <c r="C22" s="60"/>
      <c r="D22" s="6"/>
      <c r="E22" s="6"/>
      <c r="F22" s="6"/>
    </row>
    <row r="23" spans="1:6" ht="24" customHeight="1" x14ac:dyDescent="0.2">
      <c r="A23" s="64"/>
      <c r="B23" s="6"/>
      <c r="C23" s="60"/>
      <c r="D23" s="6"/>
      <c r="E23" s="6"/>
      <c r="F23" s="6"/>
    </row>
    <row r="24" spans="1:6" ht="24" customHeight="1" x14ac:dyDescent="0.2">
      <c r="A24" s="91" t="s">
        <v>234</v>
      </c>
      <c r="B24" s="91"/>
      <c r="C24" s="116"/>
      <c r="D24" s="6"/>
      <c r="E24" s="6"/>
      <c r="F24" s="6"/>
    </row>
    <row r="25" spans="1:6" ht="24" customHeight="1" x14ac:dyDescent="0.2">
      <c r="A25" s="62" t="s">
        <v>42</v>
      </c>
      <c r="B25" s="280" t="s">
        <v>288</v>
      </c>
      <c r="C25" s="281"/>
      <c r="D25" s="6"/>
      <c r="E25" s="6"/>
      <c r="F25" s="6"/>
    </row>
    <row r="26" spans="1:6" ht="24" customHeight="1" x14ac:dyDescent="0.2">
      <c r="A26" s="62" t="s">
        <v>77</v>
      </c>
      <c r="B26" s="282" t="s">
        <v>289</v>
      </c>
      <c r="C26" s="283"/>
      <c r="D26" s="6"/>
      <c r="E26" s="6"/>
      <c r="F26" s="6"/>
    </row>
    <row r="27" spans="1:6" ht="24" customHeight="1" x14ac:dyDescent="0.2">
      <c r="A27" s="62" t="s">
        <v>107</v>
      </c>
      <c r="B27" s="282" t="s">
        <v>290</v>
      </c>
      <c r="C27" s="283"/>
      <c r="D27" s="6"/>
      <c r="E27" s="6"/>
      <c r="F27" s="6"/>
    </row>
    <row r="28" spans="1:6" ht="24" customHeight="1" x14ac:dyDescent="0.2">
      <c r="A28" s="6"/>
      <c r="B28" s="6"/>
      <c r="C28" s="6"/>
      <c r="D28" s="6"/>
      <c r="E28" s="6"/>
      <c r="F28" s="6"/>
    </row>
    <row r="29" spans="1:6" ht="24" customHeight="1" x14ac:dyDescent="0.2">
      <c r="A29" s="91" t="s">
        <v>277</v>
      </c>
      <c r="B29" s="159"/>
      <c r="C29" s="159"/>
      <c r="D29" s="6"/>
      <c r="E29" s="6"/>
      <c r="F29" s="6"/>
    </row>
    <row r="30" spans="1:6" ht="24" customHeight="1" x14ac:dyDescent="0.2">
      <c r="A30" s="62" t="s">
        <v>278</v>
      </c>
      <c r="B30" s="273" t="s">
        <v>281</v>
      </c>
      <c r="C30" s="274"/>
      <c r="D30" s="274"/>
      <c r="E30" s="6"/>
      <c r="F30" s="6"/>
    </row>
    <row r="31" spans="1:6" ht="24" customHeight="1" x14ac:dyDescent="0.2">
      <c r="A31" s="62" t="s">
        <v>279</v>
      </c>
      <c r="B31" s="271" t="s">
        <v>282</v>
      </c>
      <c r="C31" s="272"/>
      <c r="D31" s="272"/>
      <c r="E31" s="6"/>
      <c r="F31" s="6"/>
    </row>
    <row r="32" spans="1:6" ht="24" customHeight="1" x14ac:dyDescent="0.2">
      <c r="A32" s="62" t="s">
        <v>280</v>
      </c>
      <c r="B32" s="271" t="s">
        <v>293</v>
      </c>
      <c r="C32" s="272"/>
      <c r="D32" s="272"/>
      <c r="E32" s="6"/>
      <c r="F32" s="6"/>
    </row>
    <row r="33" spans="1:6" ht="24" customHeight="1" x14ac:dyDescent="0.2">
      <c r="A33" s="62" t="s">
        <v>296</v>
      </c>
      <c r="B33" s="271" t="s">
        <v>297</v>
      </c>
      <c r="C33" s="272"/>
      <c r="D33" s="272"/>
      <c r="E33" s="6"/>
      <c r="F33" s="6"/>
    </row>
  </sheetData>
  <sheetProtection algorithmName="SHA-512" hashValue="WYfKDg51KNMrZoQUr1Vd7Y9im4AuA8cTNQ+tO6/xJLR4sK9qaw3/KCylh/OQFLiMNJP85F5g/alasd7xgFd7nw==" saltValue="dNrEZMNFV6zhH6AvbfUd8g==" spinCount="100000" sheet="1" objects="1" scenarios="1"/>
  <mergeCells count="12">
    <mergeCell ref="B33:D33"/>
    <mergeCell ref="B32:D32"/>
    <mergeCell ref="B31:D31"/>
    <mergeCell ref="B30:D30"/>
    <mergeCell ref="A4:A5"/>
    <mergeCell ref="B4:B5"/>
    <mergeCell ref="C4:C5"/>
    <mergeCell ref="B25:C25"/>
    <mergeCell ref="B26:C26"/>
    <mergeCell ref="B27:C27"/>
    <mergeCell ref="B14:C14"/>
    <mergeCell ref="B15:C15"/>
  </mergeCells>
  <hyperlinks>
    <hyperlink ref="B8" location="'Total Savings'!A4" tooltip="use worksheet for details" display="'Total Savings'!A4" xr:uid="{AC02CA79-298F-41AB-B38A-F3194A2D28DE}"/>
    <hyperlink ref="B9:B11" location="'Expenses (1)'!A4" tooltip="use worksheet for details" display="'Expenses (1)'!A4" xr:uid="{49D75891-BF4B-4E3A-A5EF-6DE1A7F34AC8}"/>
    <hyperlink ref="B4" location="'Expenses (1)'!A4" tooltip="use worksheet for details" display="'Expenses (1)'!A4" xr:uid="{5BF27F1D-080E-490D-B350-E1DE8F3FE1C4}"/>
    <hyperlink ref="B9" location="'Total Income'!A4" tooltip="use worksheet for details" display="'Total Income'!A4" xr:uid="{5A825C28-0467-42B4-B671-BC9316C445C3}"/>
    <hyperlink ref="B10" location="'Total Expenses'!A4" tooltip="use worksheet for details" display="'Total Expenses'!A4" xr:uid="{14B3AFB6-91A0-48BD-98F4-C19D6ABB75B3}"/>
    <hyperlink ref="B11" location="Assumptions!A4" tooltip="use worksheet for details" display="Assumptions!A4" xr:uid="{9905DD09-6C2F-466C-8717-6C01B64B7E01}"/>
    <hyperlink ref="B4:B5" location="'retirement income vs spending'!A2" tooltip="use worksheet for details" display="'retirement income vs spending'!A2" xr:uid="{B4609B93-F24F-4AC4-8BBC-89681F2104AE}"/>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D2308-63B2-46F1-9E30-4A724CE7E535}">
  <sheetPr codeName="Sheet10"/>
  <dimension ref="A1:G40"/>
  <sheetViews>
    <sheetView showGridLines="0" workbookViewId="0">
      <selection activeCell="C1" sqref="C1"/>
    </sheetView>
  </sheetViews>
  <sheetFormatPr defaultRowHeight="12.75" x14ac:dyDescent="0.2"/>
  <cols>
    <col min="1" max="1" width="36.7109375" customWidth="1"/>
    <col min="2" max="2" width="16.7109375" customWidth="1"/>
    <col min="3" max="3" width="32.7109375" customWidth="1"/>
    <col min="4" max="4" width="2.7109375" customWidth="1"/>
    <col min="5" max="5" width="36.7109375" customWidth="1"/>
    <col min="6" max="6" width="16.7109375" customWidth="1"/>
    <col min="7" max="7" width="2.7109375" customWidth="1"/>
    <col min="8" max="8" width="6.7109375" customWidth="1"/>
  </cols>
  <sheetData>
    <row r="1" spans="1:7" ht="36" customHeight="1" x14ac:dyDescent="0.2">
      <c r="A1" s="9" t="s">
        <v>211</v>
      </c>
      <c r="B1" s="8">
        <f>SUM(B3:B20)/IF(F2="Annually",12,1)</f>
        <v>0</v>
      </c>
      <c r="C1" s="150" t="str">
        <f>"← back to "&amp;'Total Expenses'!$A$1</f>
        <v>← back to Total Expenses</v>
      </c>
      <c r="D1" s="67"/>
      <c r="E1" s="67"/>
      <c r="F1" s="67"/>
      <c r="G1" s="67"/>
    </row>
    <row r="2" spans="1:7" ht="36" customHeight="1" x14ac:dyDescent="0.2">
      <c r="A2" s="10"/>
      <c r="B2" s="11"/>
      <c r="D2" s="67"/>
      <c r="E2" s="95" t="s">
        <v>205</v>
      </c>
      <c r="F2" s="205" t="s">
        <v>206</v>
      </c>
      <c r="G2" s="67"/>
    </row>
    <row r="3" spans="1:7" ht="24" customHeight="1" x14ac:dyDescent="0.2">
      <c r="A3" s="197" t="s">
        <v>175</v>
      </c>
      <c r="B3" s="234">
        <f>F3</f>
        <v>0</v>
      </c>
      <c r="C3" s="156" t="s">
        <v>199</v>
      </c>
      <c r="D3" s="68"/>
      <c r="E3" s="33" t="str">
        <f>A3&amp;" (details)"</f>
        <v>Clothing (details)</v>
      </c>
      <c r="F3" s="32">
        <f>SUM(F4:F8)</f>
        <v>0</v>
      </c>
      <c r="G3" s="71"/>
    </row>
    <row r="4" spans="1:7" ht="24" customHeight="1" x14ac:dyDescent="0.2">
      <c r="A4" s="197" t="s">
        <v>337</v>
      </c>
      <c r="B4" s="234">
        <f>F10</f>
        <v>0</v>
      </c>
      <c r="C4" s="156" t="s">
        <v>199</v>
      </c>
      <c r="D4" s="68"/>
      <c r="E4" s="206" t="s">
        <v>93</v>
      </c>
      <c r="F4" s="207">
        <v>0</v>
      </c>
      <c r="G4" s="68"/>
    </row>
    <row r="5" spans="1:7" ht="24" customHeight="1" x14ac:dyDescent="0.2">
      <c r="A5" s="197" t="s">
        <v>338</v>
      </c>
      <c r="B5" s="234">
        <f>F17</f>
        <v>0</v>
      </c>
      <c r="C5" s="156" t="s">
        <v>199</v>
      </c>
      <c r="D5" s="68"/>
      <c r="E5" s="193"/>
      <c r="F5" s="155"/>
      <c r="G5" s="68"/>
    </row>
    <row r="6" spans="1:7" ht="24" customHeight="1" x14ac:dyDescent="0.2">
      <c r="A6" s="197" t="s">
        <v>173</v>
      </c>
      <c r="B6" s="234">
        <f>F24</f>
        <v>0</v>
      </c>
      <c r="C6" s="156" t="s">
        <v>199</v>
      </c>
      <c r="D6" s="68"/>
      <c r="E6" s="193"/>
      <c r="F6" s="155"/>
      <c r="G6" s="68"/>
    </row>
    <row r="7" spans="1:7" ht="24" customHeight="1" x14ac:dyDescent="0.2">
      <c r="A7" s="197" t="s">
        <v>93</v>
      </c>
      <c r="B7" s="200">
        <v>0</v>
      </c>
      <c r="C7" s="156" t="s">
        <v>339</v>
      </c>
      <c r="D7" s="68"/>
      <c r="E7" s="193"/>
      <c r="F7" s="155"/>
      <c r="G7" s="68"/>
    </row>
    <row r="8" spans="1:7" ht="24" customHeight="1" x14ac:dyDescent="0.2">
      <c r="A8" s="197"/>
      <c r="B8" s="200"/>
      <c r="C8" s="156"/>
      <c r="D8" s="68"/>
      <c r="E8" s="193"/>
      <c r="F8" s="155"/>
      <c r="G8" s="68"/>
    </row>
    <row r="9" spans="1:7" ht="24" customHeight="1" x14ac:dyDescent="0.2">
      <c r="A9" s="197"/>
      <c r="B9" s="200"/>
      <c r="C9" s="156"/>
      <c r="D9" s="68"/>
      <c r="E9" s="69"/>
      <c r="F9" s="70"/>
      <c r="G9" s="71"/>
    </row>
    <row r="10" spans="1:7" ht="24" customHeight="1" x14ac:dyDescent="0.2">
      <c r="A10" s="197"/>
      <c r="B10" s="200"/>
      <c r="C10" s="156"/>
      <c r="D10" s="68"/>
      <c r="E10" s="33" t="str">
        <f>A4&amp;" (details)"</f>
        <v>Personal grooming (details)</v>
      </c>
      <c r="F10" s="32">
        <f>SUM(F11:F15)</f>
        <v>0</v>
      </c>
      <c r="G10" s="71"/>
    </row>
    <row r="11" spans="1:7" ht="24" customHeight="1" x14ac:dyDescent="0.2">
      <c r="A11" s="197"/>
      <c r="B11" s="200"/>
      <c r="C11" s="156"/>
      <c r="D11" s="68"/>
      <c r="E11" s="206" t="s">
        <v>93</v>
      </c>
      <c r="F11" s="207">
        <v>0</v>
      </c>
      <c r="G11" s="68"/>
    </row>
    <row r="12" spans="1:7" ht="24" customHeight="1" x14ac:dyDescent="0.2">
      <c r="A12" s="197"/>
      <c r="B12" s="200"/>
      <c r="C12" s="156"/>
      <c r="D12" s="68"/>
      <c r="E12" s="193"/>
      <c r="F12" s="155"/>
      <c r="G12" s="68"/>
    </row>
    <row r="13" spans="1:7" ht="24" customHeight="1" x14ac:dyDescent="0.2">
      <c r="A13" s="197"/>
      <c r="B13" s="200"/>
      <c r="C13" s="156"/>
      <c r="D13" s="68"/>
      <c r="E13" s="193"/>
      <c r="F13" s="155"/>
      <c r="G13" s="68"/>
    </row>
    <row r="14" spans="1:7" ht="24" customHeight="1" x14ac:dyDescent="0.2">
      <c r="A14" s="197"/>
      <c r="B14" s="200"/>
      <c r="C14" s="156"/>
      <c r="D14" s="68"/>
      <c r="E14" s="193"/>
      <c r="F14" s="155"/>
      <c r="G14" s="68"/>
    </row>
    <row r="15" spans="1:7" ht="24" customHeight="1" x14ac:dyDescent="0.2">
      <c r="A15" s="197"/>
      <c r="B15" s="200"/>
      <c r="C15" s="156"/>
      <c r="D15" s="68"/>
      <c r="E15" s="193"/>
      <c r="F15" s="155"/>
      <c r="G15" s="68"/>
    </row>
    <row r="16" spans="1:7" ht="24" customHeight="1" x14ac:dyDescent="0.2">
      <c r="A16" s="197"/>
      <c r="B16" s="200"/>
      <c r="C16" s="156"/>
      <c r="D16" s="68"/>
      <c r="E16" s="67"/>
      <c r="F16" s="67"/>
      <c r="G16" s="71"/>
    </row>
    <row r="17" spans="1:7" ht="24" customHeight="1" x14ac:dyDescent="0.2">
      <c r="A17" s="197"/>
      <c r="B17" s="200"/>
      <c r="C17" s="156"/>
      <c r="D17" s="68"/>
      <c r="E17" s="33" t="str">
        <f>A5&amp;" (details)"</f>
        <v>Exercise and fitness (details)</v>
      </c>
      <c r="F17" s="32">
        <f>SUM(F18:F22)</f>
        <v>0</v>
      </c>
      <c r="G17" s="71"/>
    </row>
    <row r="18" spans="1:7" ht="24" customHeight="1" x14ac:dyDescent="0.2">
      <c r="A18" s="197"/>
      <c r="B18" s="200"/>
      <c r="C18" s="156"/>
      <c r="D18" s="68"/>
      <c r="E18" s="206" t="s">
        <v>93</v>
      </c>
      <c r="F18" s="207">
        <v>0</v>
      </c>
      <c r="G18" s="68"/>
    </row>
    <row r="19" spans="1:7" ht="24" customHeight="1" x14ac:dyDescent="0.2">
      <c r="A19" s="197"/>
      <c r="B19" s="200"/>
      <c r="C19" s="156"/>
      <c r="D19" s="68"/>
      <c r="E19" s="193"/>
      <c r="F19" s="155"/>
      <c r="G19" s="68"/>
    </row>
    <row r="20" spans="1:7" ht="24" customHeight="1" x14ac:dyDescent="0.2">
      <c r="A20" s="197"/>
      <c r="B20" s="200"/>
      <c r="C20" s="156"/>
      <c r="D20" s="68"/>
      <c r="E20" s="193"/>
      <c r="F20" s="155"/>
      <c r="G20" s="68"/>
    </row>
    <row r="21" spans="1:7" ht="24" customHeight="1" x14ac:dyDescent="0.2">
      <c r="A21" s="6"/>
      <c r="B21" s="61"/>
      <c r="D21" s="67"/>
      <c r="E21" s="193"/>
      <c r="F21" s="155"/>
      <c r="G21" s="68"/>
    </row>
    <row r="22" spans="1:7" ht="24" customHeight="1" x14ac:dyDescent="0.2">
      <c r="A22" s="6"/>
      <c r="B22" s="61"/>
      <c r="D22" s="67"/>
      <c r="E22" s="193" t="s">
        <v>93</v>
      </c>
      <c r="F22" s="155">
        <v>0</v>
      </c>
      <c r="G22" s="68"/>
    </row>
    <row r="23" spans="1:7" ht="24" customHeight="1" x14ac:dyDescent="0.2">
      <c r="A23" s="6"/>
      <c r="B23" s="61"/>
      <c r="D23" s="67"/>
      <c r="E23" s="67"/>
      <c r="F23" s="67"/>
      <c r="G23" s="71"/>
    </row>
    <row r="24" spans="1:7" ht="24" customHeight="1" x14ac:dyDescent="0.2">
      <c r="A24" s="6"/>
      <c r="B24" s="61"/>
      <c r="D24" s="67"/>
      <c r="E24" s="33" t="str">
        <f>A6&amp;" (details)"</f>
        <v>Other (details)</v>
      </c>
      <c r="F24" s="32">
        <f>SUM(F25:F29)</f>
        <v>0</v>
      </c>
      <c r="G24" s="67"/>
    </row>
    <row r="25" spans="1:7" ht="24" customHeight="1" x14ac:dyDescent="0.2">
      <c r="A25" s="6"/>
      <c r="B25" s="61"/>
      <c r="D25" s="67"/>
      <c r="E25" s="206" t="s">
        <v>93</v>
      </c>
      <c r="F25" s="207">
        <v>0</v>
      </c>
      <c r="G25" s="68"/>
    </row>
    <row r="26" spans="1:7" ht="24" customHeight="1" x14ac:dyDescent="0.2">
      <c r="A26" s="6"/>
      <c r="B26" s="61"/>
      <c r="D26" s="67"/>
      <c r="E26" s="193"/>
      <c r="F26" s="155"/>
      <c r="G26" s="68"/>
    </row>
    <row r="27" spans="1:7" ht="24" customHeight="1" x14ac:dyDescent="0.2">
      <c r="A27" s="6"/>
      <c r="B27" s="61"/>
      <c r="D27" s="67"/>
      <c r="E27" s="193"/>
      <c r="F27" s="155"/>
      <c r="G27" s="68"/>
    </row>
    <row r="28" spans="1:7" ht="24" customHeight="1" x14ac:dyDescent="0.2">
      <c r="A28" s="6"/>
      <c r="B28" s="61"/>
      <c r="D28" s="67"/>
      <c r="E28" s="193"/>
      <c r="F28" s="155"/>
      <c r="G28" s="68"/>
    </row>
    <row r="29" spans="1:7" ht="24" customHeight="1" x14ac:dyDescent="0.2">
      <c r="A29" s="6"/>
      <c r="B29" s="61"/>
      <c r="D29" s="67"/>
      <c r="E29" s="193"/>
      <c r="F29" s="155"/>
      <c r="G29" s="68"/>
    </row>
    <row r="30" spans="1:7" ht="24" customHeight="1" x14ac:dyDescent="0.2">
      <c r="A30" s="6"/>
      <c r="B30" s="61"/>
      <c r="D30" s="67"/>
      <c r="E30" s="67"/>
      <c r="F30" s="67"/>
      <c r="G30" s="67"/>
    </row>
    <row r="31" spans="1:7" ht="24" customHeight="1" x14ac:dyDescent="0.2">
      <c r="A31" s="6"/>
      <c r="B31" s="61"/>
    </row>
    <row r="32" spans="1:7" ht="24" customHeight="1" x14ac:dyDescent="0.2">
      <c r="A32" s="6"/>
      <c r="B32" s="61"/>
    </row>
    <row r="33" spans="1:2" ht="24" customHeight="1" x14ac:dyDescent="0.2">
      <c r="A33" s="6"/>
      <c r="B33" s="61"/>
    </row>
    <row r="34" spans="1:2" ht="24" customHeight="1" x14ac:dyDescent="0.2">
      <c r="A34" s="6"/>
      <c r="B34" s="61"/>
    </row>
    <row r="35" spans="1:2" ht="24" customHeight="1" x14ac:dyDescent="0.2">
      <c r="A35" s="6"/>
      <c r="B35" s="61"/>
    </row>
    <row r="36" spans="1:2" ht="24" customHeight="1" x14ac:dyDescent="0.2">
      <c r="A36" s="6"/>
      <c r="B36" s="61"/>
    </row>
    <row r="37" spans="1:2" ht="24" customHeight="1" x14ac:dyDescent="0.2">
      <c r="A37" s="6"/>
      <c r="B37" s="61"/>
    </row>
    <row r="38" spans="1:2" ht="24" customHeight="1" x14ac:dyDescent="0.2">
      <c r="A38" s="6"/>
      <c r="B38" s="61"/>
    </row>
    <row r="39" spans="1:2" ht="24" customHeight="1" x14ac:dyDescent="0.2">
      <c r="A39" s="6"/>
      <c r="B39" s="61"/>
    </row>
    <row r="40" spans="1:2" ht="24" customHeight="1" x14ac:dyDescent="0.2">
      <c r="A40" s="6"/>
      <c r="B40" s="61"/>
    </row>
  </sheetData>
  <sheetProtection algorithmName="SHA-512" hashValue="qq0vRYmbpH9tDJ1L849wlLXKuobDqfXirkwql3yZXsLOYeJR2F5NupiFZPeBbjwFffe7qMAUQOQygQYA03PNaA==" saltValue="MKePmlLYFhzjwqw3nONCcg==" spinCount="100000" sheet="1" objects="1" scenarios="1"/>
  <conditionalFormatting sqref="C1">
    <cfRule type="notContainsBlanks" dxfId="20" priority="1">
      <formula>LEN(TRIM(C1))&gt;0</formula>
    </cfRule>
  </conditionalFormatting>
  <conditionalFormatting sqref="C3:C20">
    <cfRule type="notContainsBlanks" dxfId="19" priority="3">
      <formula>LEN(TRIM(C3))&gt;0</formula>
    </cfRule>
  </conditionalFormatting>
  <conditionalFormatting sqref="G4:G8 G11:G15 G18:G22 G25:G29">
    <cfRule type="notContainsBlanks" dxfId="18" priority="2">
      <formula>LEN(TRIM(G4))&gt;0</formula>
    </cfRule>
  </conditionalFormatting>
  <dataValidations count="1">
    <dataValidation type="list" allowBlank="1" showInputMessage="1" showErrorMessage="1" sqref="F2" xr:uid="{5540B553-E4FA-4EFA-BB96-E4FEFBD31E33}">
      <formula1>"Annually,Monthly"</formula1>
    </dataValidation>
  </dataValidations>
  <hyperlinks>
    <hyperlink ref="C1" location="'Total Expenses'!A1" display="'Total Expenses'!A1" xr:uid="{2149DF1C-C8DA-4F3D-B01D-636B8CD32826}"/>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30B33-5634-4A99-B7B0-882A028CE78B}">
  <sheetPr codeName="Sheet11"/>
  <dimension ref="A1:G40"/>
  <sheetViews>
    <sheetView showGridLines="0" workbookViewId="0">
      <selection activeCell="A8" sqref="A8"/>
    </sheetView>
  </sheetViews>
  <sheetFormatPr defaultRowHeight="12.75" x14ac:dyDescent="0.2"/>
  <cols>
    <col min="1" max="1" width="36.7109375" customWidth="1"/>
    <col min="2" max="2" width="16.7109375" customWidth="1"/>
    <col min="3" max="3" width="32.7109375" customWidth="1"/>
    <col min="4" max="4" width="2.7109375" customWidth="1"/>
    <col min="5" max="5" width="36.7109375" customWidth="1"/>
    <col min="6" max="6" width="16.7109375" customWidth="1"/>
    <col min="7" max="7" width="2.7109375" customWidth="1"/>
    <col min="8" max="8" width="6.7109375" customWidth="1"/>
  </cols>
  <sheetData>
    <row r="1" spans="1:7" ht="36" customHeight="1" x14ac:dyDescent="0.2">
      <c r="A1" s="9" t="s">
        <v>39</v>
      </c>
      <c r="B1" s="8">
        <f>SUM(B3:B20)/IF(F2="Annually",12,1)</f>
        <v>0</v>
      </c>
      <c r="C1" s="150" t="str">
        <f>"← back to "&amp;'Total Expenses'!$A$1</f>
        <v>← back to Total Expenses</v>
      </c>
      <c r="D1" s="67"/>
      <c r="E1" s="67"/>
      <c r="F1" s="67"/>
      <c r="G1" s="67"/>
    </row>
    <row r="2" spans="1:7" ht="36" customHeight="1" x14ac:dyDescent="0.2">
      <c r="A2" s="10"/>
      <c r="B2" s="11"/>
      <c r="D2" s="67"/>
      <c r="E2" s="95" t="s">
        <v>205</v>
      </c>
      <c r="F2" s="205" t="s">
        <v>41</v>
      </c>
      <c r="G2" s="67"/>
    </row>
    <row r="3" spans="1:7" ht="24" customHeight="1" x14ac:dyDescent="0.2">
      <c r="A3" s="197" t="s">
        <v>2</v>
      </c>
      <c r="B3" s="234">
        <f>F3</f>
        <v>0</v>
      </c>
      <c r="C3" s="156" t="s">
        <v>199</v>
      </c>
      <c r="D3" s="68"/>
      <c r="E3" s="33" t="str">
        <f>A3&amp;" (details)"</f>
        <v>Groceries (details)</v>
      </c>
      <c r="F3" s="32">
        <f>SUM(F4:F8)</f>
        <v>0</v>
      </c>
      <c r="G3" s="71"/>
    </row>
    <row r="4" spans="1:7" ht="24" customHeight="1" x14ac:dyDescent="0.2">
      <c r="A4" s="197" t="s">
        <v>7</v>
      </c>
      <c r="B4" s="234">
        <f>F10</f>
        <v>0</v>
      </c>
      <c r="C4" s="156" t="s">
        <v>199</v>
      </c>
      <c r="D4" s="68"/>
      <c r="E4" s="197" t="s">
        <v>178</v>
      </c>
      <c r="F4" s="200">
        <v>0</v>
      </c>
      <c r="G4" s="68"/>
    </row>
    <row r="5" spans="1:7" ht="24" customHeight="1" x14ac:dyDescent="0.2">
      <c r="A5" s="197" t="s">
        <v>172</v>
      </c>
      <c r="B5" s="234">
        <f>F17</f>
        <v>0</v>
      </c>
      <c r="C5" s="156" t="s">
        <v>199</v>
      </c>
      <c r="D5" s="68"/>
      <c r="E5" s="197" t="s">
        <v>248</v>
      </c>
      <c r="F5" s="200">
        <v>0</v>
      </c>
      <c r="G5" s="68"/>
    </row>
    <row r="6" spans="1:7" ht="24" customHeight="1" x14ac:dyDescent="0.2">
      <c r="A6" s="197" t="s">
        <v>40</v>
      </c>
      <c r="B6" s="234">
        <f>F24</f>
        <v>0</v>
      </c>
      <c r="C6" s="156" t="s">
        <v>199</v>
      </c>
      <c r="D6" s="68"/>
      <c r="E6" s="197" t="s">
        <v>249</v>
      </c>
      <c r="F6" s="200">
        <v>0</v>
      </c>
      <c r="G6" s="68"/>
    </row>
    <row r="7" spans="1:7" ht="24" customHeight="1" x14ac:dyDescent="0.2">
      <c r="A7" s="197"/>
      <c r="B7" s="200">
        <v>0</v>
      </c>
      <c r="C7" s="156"/>
      <c r="D7" s="68"/>
      <c r="E7" s="187" t="s">
        <v>250</v>
      </c>
      <c r="F7" s="155">
        <v>0</v>
      </c>
      <c r="G7" s="68"/>
    </row>
    <row r="8" spans="1:7" ht="24" customHeight="1" x14ac:dyDescent="0.2">
      <c r="A8" s="197"/>
      <c r="B8" s="200">
        <v>0</v>
      </c>
      <c r="C8" s="156"/>
      <c r="D8" s="68"/>
      <c r="E8" s="193" t="s">
        <v>173</v>
      </c>
      <c r="F8" s="155">
        <v>0</v>
      </c>
      <c r="G8" s="68"/>
    </row>
    <row r="9" spans="1:7" ht="24" customHeight="1" x14ac:dyDescent="0.2">
      <c r="A9" s="197"/>
      <c r="B9" s="200">
        <v>0</v>
      </c>
      <c r="C9" s="156"/>
      <c r="D9" s="68"/>
      <c r="E9" s="69"/>
      <c r="F9" s="70"/>
      <c r="G9" s="71"/>
    </row>
    <row r="10" spans="1:7" ht="24" customHeight="1" x14ac:dyDescent="0.2">
      <c r="A10" s="197"/>
      <c r="B10" s="200"/>
      <c r="C10" s="156"/>
      <c r="D10" s="68"/>
      <c r="E10" s="33" t="str">
        <f>A4&amp;" (details)"</f>
        <v>Restaurants (details)</v>
      </c>
      <c r="F10" s="32">
        <f>SUM(F11:F15)</f>
        <v>0</v>
      </c>
      <c r="G10" s="71"/>
    </row>
    <row r="11" spans="1:7" ht="24" customHeight="1" x14ac:dyDescent="0.2">
      <c r="A11" s="197"/>
      <c r="B11" s="200"/>
      <c r="C11" s="156"/>
      <c r="D11" s="68"/>
      <c r="E11" s="206" t="s">
        <v>354</v>
      </c>
      <c r="F11" s="207">
        <v>0</v>
      </c>
      <c r="G11" s="68"/>
    </row>
    <row r="12" spans="1:7" ht="24" customHeight="1" x14ac:dyDescent="0.2">
      <c r="A12" s="197"/>
      <c r="B12" s="200"/>
      <c r="C12" s="156"/>
      <c r="D12" s="68"/>
      <c r="E12" s="193"/>
      <c r="F12" s="155"/>
      <c r="G12" s="68"/>
    </row>
    <row r="13" spans="1:7" ht="24" customHeight="1" x14ac:dyDescent="0.2">
      <c r="A13" s="197"/>
      <c r="B13" s="200"/>
      <c r="C13" s="156"/>
      <c r="D13" s="68"/>
      <c r="E13" s="193"/>
      <c r="F13" s="155"/>
      <c r="G13" s="68"/>
    </row>
    <row r="14" spans="1:7" ht="24" customHeight="1" x14ac:dyDescent="0.2">
      <c r="A14" s="197"/>
      <c r="B14" s="200"/>
      <c r="C14" s="156"/>
      <c r="D14" s="68"/>
      <c r="E14" s="193"/>
      <c r="F14" s="155"/>
      <c r="G14" s="68"/>
    </row>
    <row r="15" spans="1:7" ht="24" customHeight="1" x14ac:dyDescent="0.2">
      <c r="A15" s="197"/>
      <c r="B15" s="200"/>
      <c r="C15" s="156"/>
      <c r="D15" s="68"/>
      <c r="E15" s="193"/>
      <c r="F15" s="155"/>
      <c r="G15" s="68"/>
    </row>
    <row r="16" spans="1:7" ht="24" customHeight="1" x14ac:dyDescent="0.2">
      <c r="A16" s="197"/>
      <c r="B16" s="200"/>
      <c r="C16" s="156"/>
      <c r="D16" s="68"/>
      <c r="E16" s="67"/>
      <c r="F16" s="67"/>
      <c r="G16" s="71"/>
    </row>
    <row r="17" spans="1:7" ht="24" customHeight="1" x14ac:dyDescent="0.2">
      <c r="A17" s="197"/>
      <c r="B17" s="200"/>
      <c r="C17" s="156"/>
      <c r="D17" s="68"/>
      <c r="E17" s="33" t="str">
        <f>A5&amp;" (details)"</f>
        <v>Alcohol (details)</v>
      </c>
      <c r="F17" s="32">
        <f>SUM(F18:F22)</f>
        <v>0</v>
      </c>
      <c r="G17" s="71"/>
    </row>
    <row r="18" spans="1:7" ht="24" customHeight="1" x14ac:dyDescent="0.2">
      <c r="A18" s="197"/>
      <c r="B18" s="200"/>
      <c r="C18" s="156"/>
      <c r="D18" s="68"/>
      <c r="E18" s="206" t="s">
        <v>352</v>
      </c>
      <c r="F18" s="207">
        <v>0</v>
      </c>
      <c r="G18" s="68"/>
    </row>
    <row r="19" spans="1:7" ht="24" customHeight="1" x14ac:dyDescent="0.2">
      <c r="A19" s="197"/>
      <c r="B19" s="200"/>
      <c r="C19" s="156"/>
      <c r="D19" s="68"/>
      <c r="E19" s="193" t="s">
        <v>353</v>
      </c>
      <c r="F19" s="155">
        <v>0</v>
      </c>
      <c r="G19" s="68"/>
    </row>
    <row r="20" spans="1:7" ht="24" customHeight="1" x14ac:dyDescent="0.2">
      <c r="A20" s="197"/>
      <c r="B20" s="200"/>
      <c r="C20" s="156"/>
      <c r="D20" s="68"/>
      <c r="E20" s="193"/>
      <c r="F20" s="155"/>
      <c r="G20" s="68"/>
    </row>
    <row r="21" spans="1:7" ht="24" customHeight="1" x14ac:dyDescent="0.2">
      <c r="A21" s="6"/>
      <c r="B21" s="61"/>
      <c r="D21" s="67"/>
      <c r="E21" s="193"/>
      <c r="F21" s="155"/>
      <c r="G21" s="68"/>
    </row>
    <row r="22" spans="1:7" ht="24" customHeight="1" x14ac:dyDescent="0.2">
      <c r="A22" s="6"/>
      <c r="B22" s="61"/>
      <c r="D22" s="67"/>
      <c r="E22" s="193" t="s">
        <v>93</v>
      </c>
      <c r="F22" s="155">
        <v>0</v>
      </c>
      <c r="G22" s="68"/>
    </row>
    <row r="23" spans="1:7" ht="24" customHeight="1" x14ac:dyDescent="0.2">
      <c r="A23" s="6"/>
      <c r="B23" s="61"/>
      <c r="D23" s="67"/>
      <c r="E23" s="67"/>
      <c r="F23" s="67"/>
      <c r="G23" s="71"/>
    </row>
    <row r="24" spans="1:7" ht="24" customHeight="1" x14ac:dyDescent="0.2">
      <c r="A24" s="6"/>
      <c r="B24" s="61"/>
      <c r="D24" s="67"/>
      <c r="E24" s="33" t="str">
        <f>A6&amp;" (details)"</f>
        <v>Fast food (details)</v>
      </c>
      <c r="F24" s="32">
        <f>SUM(F25:F29)</f>
        <v>0</v>
      </c>
      <c r="G24" s="67"/>
    </row>
    <row r="25" spans="1:7" ht="24" customHeight="1" x14ac:dyDescent="0.2">
      <c r="A25" s="6"/>
      <c r="B25" s="61"/>
      <c r="D25" s="67"/>
      <c r="E25" s="206"/>
      <c r="F25" s="207"/>
      <c r="G25" s="68"/>
    </row>
    <row r="26" spans="1:7" ht="24" customHeight="1" x14ac:dyDescent="0.2">
      <c r="A26" s="6"/>
      <c r="B26" s="61"/>
      <c r="D26" s="67"/>
      <c r="E26" s="193"/>
      <c r="F26" s="155"/>
      <c r="G26" s="68"/>
    </row>
    <row r="27" spans="1:7" ht="24" customHeight="1" x14ac:dyDescent="0.2">
      <c r="A27" s="6"/>
      <c r="B27" s="61"/>
      <c r="D27" s="67"/>
      <c r="E27" s="193"/>
      <c r="F27" s="155"/>
      <c r="G27" s="68"/>
    </row>
    <row r="28" spans="1:7" ht="24" customHeight="1" x14ac:dyDescent="0.2">
      <c r="A28" s="6"/>
      <c r="B28" s="61"/>
      <c r="D28" s="67"/>
      <c r="E28" s="193"/>
      <c r="F28" s="155"/>
      <c r="G28" s="68"/>
    </row>
    <row r="29" spans="1:7" ht="24" customHeight="1" x14ac:dyDescent="0.2">
      <c r="A29" s="6"/>
      <c r="B29" s="61"/>
      <c r="D29" s="67"/>
      <c r="E29" s="193" t="s">
        <v>93</v>
      </c>
      <c r="F29" s="155">
        <v>0</v>
      </c>
      <c r="G29" s="68"/>
    </row>
    <row r="30" spans="1:7" ht="24" customHeight="1" x14ac:dyDescent="0.2">
      <c r="A30" s="6"/>
      <c r="B30" s="61"/>
      <c r="D30" s="67"/>
      <c r="E30" s="67"/>
      <c r="F30" s="67"/>
      <c r="G30" s="67"/>
    </row>
    <row r="31" spans="1:7" ht="24" customHeight="1" x14ac:dyDescent="0.2">
      <c r="A31" s="6"/>
      <c r="B31" s="61"/>
    </row>
    <row r="32" spans="1:7" ht="24" customHeight="1" x14ac:dyDescent="0.2">
      <c r="A32" s="6"/>
      <c r="B32" s="61"/>
    </row>
    <row r="33" spans="1:2" ht="24" customHeight="1" x14ac:dyDescent="0.2">
      <c r="A33" s="6"/>
      <c r="B33" s="61"/>
    </row>
    <row r="34" spans="1:2" ht="24" customHeight="1" x14ac:dyDescent="0.2">
      <c r="A34" s="6"/>
      <c r="B34" s="61"/>
    </row>
    <row r="35" spans="1:2" ht="24" customHeight="1" x14ac:dyDescent="0.2">
      <c r="A35" s="6"/>
      <c r="B35" s="61"/>
    </row>
    <row r="36" spans="1:2" ht="24" customHeight="1" x14ac:dyDescent="0.2">
      <c r="A36" s="6"/>
      <c r="B36" s="61"/>
    </row>
    <row r="37" spans="1:2" ht="24" customHeight="1" x14ac:dyDescent="0.2">
      <c r="A37" s="6"/>
      <c r="B37" s="61"/>
    </row>
    <row r="38" spans="1:2" ht="24" customHeight="1" x14ac:dyDescent="0.2">
      <c r="A38" s="6"/>
      <c r="B38" s="61"/>
    </row>
    <row r="39" spans="1:2" ht="24" customHeight="1" x14ac:dyDescent="0.2">
      <c r="A39" s="6"/>
      <c r="B39" s="61"/>
    </row>
    <row r="40" spans="1:2" ht="24" customHeight="1" x14ac:dyDescent="0.2">
      <c r="A40" s="6"/>
      <c r="B40" s="61"/>
    </row>
  </sheetData>
  <sheetProtection algorithmName="SHA-512" hashValue="hLksWa716byXH1i8cPDQ3ogNBGNUwKw8ht87pFgnfo0n4/nJKA/gN5xQcEcpfU1kuEpapVS8X8qsZEURhh6E5Q==" saltValue="dDWDhSVrPhK3JhcVVFrc6w==" spinCount="100000" sheet="1" objects="1" scenarios="1"/>
  <conditionalFormatting sqref="C1">
    <cfRule type="notContainsBlanks" dxfId="17" priority="1">
      <formula>LEN(TRIM(C1))&gt;0</formula>
    </cfRule>
  </conditionalFormatting>
  <conditionalFormatting sqref="C3:C20">
    <cfRule type="notContainsBlanks" dxfId="16" priority="3">
      <formula>LEN(TRIM(C3))&gt;0</formula>
    </cfRule>
  </conditionalFormatting>
  <conditionalFormatting sqref="G4:G8 G11:G15 G18:G22 G25:G29">
    <cfRule type="notContainsBlanks" dxfId="15" priority="2">
      <formula>LEN(TRIM(G4))&gt;0</formula>
    </cfRule>
  </conditionalFormatting>
  <dataValidations count="1">
    <dataValidation type="list" allowBlank="1" showInputMessage="1" showErrorMessage="1" sqref="F2" xr:uid="{0F0B639A-441D-42E1-B9B6-94A52F0D2271}">
      <formula1>"Annually,Monthly"</formula1>
    </dataValidation>
  </dataValidations>
  <hyperlinks>
    <hyperlink ref="C1" location="'Total Expenses'!A1" display="'Total Expenses'!A1" xr:uid="{E7187CDE-0595-488C-97F0-6B489911C28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09713-2E58-464D-9AE7-8045D3705326}">
  <sheetPr codeName="Sheet12"/>
  <dimension ref="A1:G43"/>
  <sheetViews>
    <sheetView showGridLines="0" workbookViewId="0">
      <selection activeCell="A8" sqref="A8"/>
    </sheetView>
  </sheetViews>
  <sheetFormatPr defaultRowHeight="12.75" x14ac:dyDescent="0.2"/>
  <cols>
    <col min="1" max="1" width="36.7109375" customWidth="1"/>
    <col min="2" max="2" width="16.7109375" customWidth="1"/>
    <col min="3" max="3" width="32.7109375" customWidth="1"/>
    <col min="4" max="4" width="2.7109375" customWidth="1"/>
    <col min="5" max="5" width="36.7109375" customWidth="1"/>
    <col min="6" max="6" width="16.7109375" customWidth="1"/>
    <col min="7" max="7" width="2.7109375" customWidth="1"/>
  </cols>
  <sheetData>
    <row r="1" spans="1:7" ht="36" customHeight="1" x14ac:dyDescent="0.2">
      <c r="A1" s="9" t="s">
        <v>207</v>
      </c>
      <c r="B1" s="8">
        <f>SUM(B3:B20)/IF(F2="Annually",12,1)</f>
        <v>0</v>
      </c>
      <c r="C1" s="150" t="str">
        <f>"← back to "&amp;'Total Expenses'!$A$1</f>
        <v>← back to Total Expenses</v>
      </c>
      <c r="D1" s="67"/>
      <c r="E1" s="67"/>
      <c r="F1" s="67"/>
      <c r="G1" s="67"/>
    </row>
    <row r="2" spans="1:7" ht="36" customHeight="1" x14ac:dyDescent="0.2">
      <c r="A2" s="10"/>
      <c r="B2" s="11"/>
      <c r="C2" s="90"/>
      <c r="D2" s="68"/>
      <c r="E2" s="95" t="s">
        <v>205</v>
      </c>
      <c r="F2" s="205" t="s">
        <v>206</v>
      </c>
      <c r="G2" s="67"/>
    </row>
    <row r="3" spans="1:7" ht="24" customHeight="1" x14ac:dyDescent="0.2">
      <c r="A3" s="193" t="s">
        <v>203</v>
      </c>
      <c r="B3" s="234">
        <f>F3</f>
        <v>0</v>
      </c>
      <c r="C3" s="156" t="s">
        <v>199</v>
      </c>
      <c r="D3" s="68"/>
      <c r="E3" s="33" t="str">
        <f>A3&amp;" (details)"</f>
        <v>International (details)</v>
      </c>
      <c r="F3" s="32">
        <f>SUM(F4:F10)</f>
        <v>0</v>
      </c>
      <c r="G3" s="67"/>
    </row>
    <row r="4" spans="1:7" ht="24" customHeight="1" x14ac:dyDescent="0.2">
      <c r="A4" s="193" t="s">
        <v>204</v>
      </c>
      <c r="B4" s="234">
        <f>F12</f>
        <v>0</v>
      </c>
      <c r="C4" s="156" t="s">
        <v>199</v>
      </c>
      <c r="D4" s="68"/>
      <c r="E4" s="187" t="s">
        <v>11</v>
      </c>
      <c r="F4" s="208">
        <v>0</v>
      </c>
      <c r="G4" s="67"/>
    </row>
    <row r="5" spans="1:7" ht="24" customHeight="1" x14ac:dyDescent="0.2">
      <c r="A5" s="193" t="s">
        <v>202</v>
      </c>
      <c r="B5" s="234">
        <f>F20</f>
        <v>0</v>
      </c>
      <c r="C5" s="156" t="s">
        <v>199</v>
      </c>
      <c r="D5" s="68"/>
      <c r="E5" s="193" t="s">
        <v>12</v>
      </c>
      <c r="F5" s="194">
        <v>0</v>
      </c>
      <c r="G5" s="67"/>
    </row>
    <row r="6" spans="1:7" ht="24" customHeight="1" x14ac:dyDescent="0.2">
      <c r="A6" s="193"/>
      <c r="B6" s="157">
        <v>0</v>
      </c>
      <c r="C6" s="156"/>
      <c r="D6" s="68"/>
      <c r="E6" s="193" t="s">
        <v>13</v>
      </c>
      <c r="F6" s="194">
        <v>0</v>
      </c>
      <c r="G6" s="67"/>
    </row>
    <row r="7" spans="1:7" ht="24" customHeight="1" x14ac:dyDescent="0.2">
      <c r="A7" s="193"/>
      <c r="B7" s="157">
        <v>0</v>
      </c>
      <c r="C7" s="156"/>
      <c r="D7" s="68"/>
      <c r="E7" s="193" t="s">
        <v>14</v>
      </c>
      <c r="F7" s="194">
        <v>0</v>
      </c>
      <c r="G7" s="67"/>
    </row>
    <row r="8" spans="1:7" ht="24" customHeight="1" x14ac:dyDescent="0.2">
      <c r="A8" s="193"/>
      <c r="B8" s="157">
        <v>0</v>
      </c>
      <c r="C8" s="156"/>
      <c r="D8" s="68"/>
      <c r="E8" s="193"/>
      <c r="F8" s="194"/>
      <c r="G8" s="67"/>
    </row>
    <row r="9" spans="1:7" ht="24" customHeight="1" x14ac:dyDescent="0.2">
      <c r="A9" s="193"/>
      <c r="B9" s="157"/>
      <c r="C9" s="156"/>
      <c r="D9" s="68"/>
      <c r="E9" s="193"/>
      <c r="F9" s="194"/>
      <c r="G9" s="67"/>
    </row>
    <row r="10" spans="1:7" ht="24" customHeight="1" x14ac:dyDescent="0.2">
      <c r="A10" s="193"/>
      <c r="B10" s="157"/>
      <c r="C10" s="156"/>
      <c r="D10" s="68"/>
      <c r="E10" s="193"/>
      <c r="F10" s="194"/>
      <c r="G10" s="67"/>
    </row>
    <row r="11" spans="1:7" ht="24" customHeight="1" x14ac:dyDescent="0.2">
      <c r="A11" s="193"/>
      <c r="B11" s="157"/>
      <c r="C11" s="156"/>
      <c r="D11" s="68"/>
      <c r="E11" s="67"/>
      <c r="F11" s="67"/>
      <c r="G11" s="67"/>
    </row>
    <row r="12" spans="1:7" ht="24" customHeight="1" x14ac:dyDescent="0.2">
      <c r="A12" s="193"/>
      <c r="B12" s="157"/>
      <c r="C12" s="156"/>
      <c r="D12" s="68"/>
      <c r="E12" s="33" t="str">
        <f>A4&amp;" (details)"</f>
        <v>Domestic (details)</v>
      </c>
      <c r="F12" s="32">
        <f>SUM(F13:F18)</f>
        <v>0</v>
      </c>
      <c r="G12" s="67"/>
    </row>
    <row r="13" spans="1:7" ht="24" customHeight="1" x14ac:dyDescent="0.2">
      <c r="A13" s="193"/>
      <c r="B13" s="157"/>
      <c r="C13" s="156"/>
      <c r="D13" s="68"/>
      <c r="E13" s="193" t="s">
        <v>12</v>
      </c>
      <c r="F13" s="194">
        <v>0</v>
      </c>
      <c r="G13" s="67"/>
    </row>
    <row r="14" spans="1:7" ht="24" customHeight="1" x14ac:dyDescent="0.2">
      <c r="A14" s="193"/>
      <c r="B14" s="157"/>
      <c r="C14" s="156"/>
      <c r="D14" s="68"/>
      <c r="E14" s="193" t="s">
        <v>14</v>
      </c>
      <c r="F14" s="194">
        <v>0</v>
      </c>
      <c r="G14" s="67"/>
    </row>
    <row r="15" spans="1:7" ht="24" customHeight="1" x14ac:dyDescent="0.2">
      <c r="A15" s="193"/>
      <c r="B15" s="157"/>
      <c r="C15" s="156"/>
      <c r="D15" s="68"/>
      <c r="E15" s="193" t="s">
        <v>208</v>
      </c>
      <c r="F15" s="194">
        <v>0</v>
      </c>
      <c r="G15" s="67"/>
    </row>
    <row r="16" spans="1:7" ht="24" customHeight="1" x14ac:dyDescent="0.2">
      <c r="A16" s="193"/>
      <c r="B16" s="157"/>
      <c r="C16" s="156"/>
      <c r="D16" s="68"/>
      <c r="E16" s="193"/>
      <c r="F16" s="194"/>
      <c r="G16" s="67"/>
    </row>
    <row r="17" spans="1:7" ht="24" customHeight="1" x14ac:dyDescent="0.2">
      <c r="A17" s="193"/>
      <c r="B17" s="157"/>
      <c r="C17" s="156"/>
      <c r="D17" s="68"/>
      <c r="E17" s="193"/>
      <c r="F17" s="194"/>
      <c r="G17" s="67"/>
    </row>
    <row r="18" spans="1:7" ht="24" customHeight="1" x14ac:dyDescent="0.2">
      <c r="A18" s="193"/>
      <c r="B18" s="157"/>
      <c r="C18" s="156"/>
      <c r="D18" s="68"/>
      <c r="E18" s="193"/>
      <c r="F18" s="194"/>
      <c r="G18" s="67"/>
    </row>
    <row r="19" spans="1:7" ht="24" customHeight="1" x14ac:dyDescent="0.2">
      <c r="A19" s="193"/>
      <c r="B19" s="157"/>
      <c r="C19" s="156"/>
      <c r="D19" s="68"/>
      <c r="E19" s="67"/>
      <c r="F19" s="67"/>
      <c r="G19" s="67"/>
    </row>
    <row r="20" spans="1:7" ht="24" customHeight="1" x14ac:dyDescent="0.2">
      <c r="A20" s="193"/>
      <c r="B20" s="157"/>
      <c r="C20" s="156"/>
      <c r="D20" s="68"/>
      <c r="E20" s="33" t="str">
        <f>A5&amp;" (details)"</f>
        <v>Weekend trips (details)</v>
      </c>
      <c r="F20" s="32">
        <f>SUM(F21:F27)</f>
        <v>0</v>
      </c>
      <c r="G20" s="67"/>
    </row>
    <row r="21" spans="1:7" ht="24" customHeight="1" x14ac:dyDescent="0.2">
      <c r="A21" s="43"/>
      <c r="B21" s="92"/>
      <c r="C21" s="60"/>
      <c r="D21" s="68"/>
      <c r="E21" s="193" t="s">
        <v>12</v>
      </c>
      <c r="F21" s="194">
        <v>0</v>
      </c>
      <c r="G21" s="67"/>
    </row>
    <row r="22" spans="1:7" ht="24" customHeight="1" x14ac:dyDescent="0.2">
      <c r="A22" s="43"/>
      <c r="B22" s="92"/>
      <c r="C22" s="60"/>
      <c r="D22" s="68"/>
      <c r="E22" s="193" t="s">
        <v>14</v>
      </c>
      <c r="F22" s="194">
        <v>0</v>
      </c>
      <c r="G22" s="67"/>
    </row>
    <row r="23" spans="1:7" ht="24" customHeight="1" x14ac:dyDescent="0.2">
      <c r="A23" s="43"/>
      <c r="B23" s="92"/>
      <c r="C23" s="60"/>
      <c r="D23" s="68"/>
      <c r="E23" s="193" t="s">
        <v>1</v>
      </c>
      <c r="F23" s="194">
        <v>0</v>
      </c>
      <c r="G23" s="67"/>
    </row>
    <row r="24" spans="1:7" ht="24" customHeight="1" x14ac:dyDescent="0.2">
      <c r="A24" s="43"/>
      <c r="B24" s="45"/>
      <c r="C24" s="60"/>
      <c r="D24" s="68"/>
      <c r="E24" s="193" t="s">
        <v>93</v>
      </c>
      <c r="F24" s="194">
        <v>0</v>
      </c>
      <c r="G24" s="67"/>
    </row>
    <row r="25" spans="1:7" ht="24" customHeight="1" x14ac:dyDescent="0.2">
      <c r="A25" s="60"/>
      <c r="B25" s="61"/>
      <c r="C25" s="60"/>
      <c r="D25" s="68"/>
      <c r="E25" s="193"/>
      <c r="F25" s="194"/>
      <c r="G25" s="67"/>
    </row>
    <row r="26" spans="1:7" ht="24" customHeight="1" x14ac:dyDescent="0.2">
      <c r="A26" s="60"/>
      <c r="B26" s="61"/>
      <c r="C26" s="60"/>
      <c r="D26" s="68"/>
      <c r="E26" s="193"/>
      <c r="F26" s="194"/>
      <c r="G26" s="67"/>
    </row>
    <row r="27" spans="1:7" ht="24" customHeight="1" x14ac:dyDescent="0.2">
      <c r="A27" s="60"/>
      <c r="B27" s="61"/>
      <c r="D27" s="68"/>
      <c r="E27" s="193"/>
      <c r="F27" s="194"/>
      <c r="G27" s="67"/>
    </row>
    <row r="28" spans="1:7" ht="24" customHeight="1" x14ac:dyDescent="0.2">
      <c r="A28" s="60"/>
      <c r="B28" s="61"/>
      <c r="D28" s="68"/>
      <c r="E28" s="67"/>
      <c r="F28" s="67"/>
      <c r="G28" s="67"/>
    </row>
    <row r="29" spans="1:7" ht="24" customHeight="1" x14ac:dyDescent="0.2">
      <c r="A29" s="60"/>
      <c r="B29" s="61"/>
      <c r="E29" s="43"/>
      <c r="F29" s="92"/>
    </row>
    <row r="30" spans="1:7" ht="24" customHeight="1" x14ac:dyDescent="0.2">
      <c r="A30" s="60"/>
      <c r="B30" s="61"/>
      <c r="E30" s="43"/>
      <c r="F30" s="92"/>
    </row>
    <row r="31" spans="1:7" ht="24" customHeight="1" x14ac:dyDescent="0.2">
      <c r="A31" s="60"/>
      <c r="B31" s="61"/>
    </row>
    <row r="32" spans="1:7" ht="24" customHeight="1" x14ac:dyDescent="0.2">
      <c r="A32" s="60"/>
      <c r="B32" s="61"/>
      <c r="E32" s="93"/>
      <c r="F32" s="94"/>
    </row>
    <row r="33" spans="1:6" ht="24" customHeight="1" x14ac:dyDescent="0.2">
      <c r="A33" s="6"/>
      <c r="B33" s="61"/>
      <c r="E33" s="43"/>
      <c r="F33" s="92"/>
    </row>
    <row r="34" spans="1:6" ht="24" customHeight="1" x14ac:dyDescent="0.2">
      <c r="A34" s="6"/>
      <c r="B34" s="61"/>
      <c r="E34" s="43"/>
      <c r="F34" s="92"/>
    </row>
    <row r="35" spans="1:6" ht="24" customHeight="1" x14ac:dyDescent="0.2">
      <c r="A35" s="6"/>
      <c r="B35" s="61"/>
      <c r="E35" s="43"/>
      <c r="F35" s="92"/>
    </row>
    <row r="36" spans="1:6" ht="24" customHeight="1" x14ac:dyDescent="0.2">
      <c r="A36" s="6"/>
      <c r="B36" s="61"/>
      <c r="E36" s="43"/>
      <c r="F36" s="92"/>
    </row>
    <row r="37" spans="1:6" ht="24" customHeight="1" x14ac:dyDescent="0.2">
      <c r="A37" s="6"/>
      <c r="B37" s="61"/>
      <c r="E37" s="43"/>
      <c r="F37" s="92"/>
    </row>
    <row r="38" spans="1:6" ht="24" customHeight="1" x14ac:dyDescent="0.2">
      <c r="A38" s="6"/>
      <c r="B38" s="61"/>
    </row>
    <row r="39" spans="1:6" ht="24" customHeight="1" x14ac:dyDescent="0.2">
      <c r="A39" s="6"/>
      <c r="B39" s="61"/>
    </row>
    <row r="40" spans="1:6" ht="24" customHeight="1" x14ac:dyDescent="0.2">
      <c r="A40" s="6"/>
      <c r="B40" s="61"/>
    </row>
    <row r="41" spans="1:6" ht="24" customHeight="1" x14ac:dyDescent="0.2">
      <c r="A41" s="6"/>
      <c r="B41" s="61"/>
    </row>
    <row r="42" spans="1:6" ht="24" customHeight="1" x14ac:dyDescent="0.2">
      <c r="A42" s="6"/>
      <c r="B42" s="61"/>
    </row>
    <row r="43" spans="1:6" ht="24" customHeight="1" x14ac:dyDescent="0.2"/>
  </sheetData>
  <sheetProtection algorithmName="SHA-512" hashValue="dbLfcjqooq049/nCKQ3ordI4RjemM/UNPVf+dzhjyMR02NY59HyrgMKT2K4UDVAw3gd+ETOcAr7NlajoEbmTVw==" saltValue="uE3qgstI0qXcghgOYJKkNQ==" spinCount="100000" sheet="1" objects="1" scenarios="1"/>
  <conditionalFormatting sqref="C1">
    <cfRule type="notContainsBlanks" dxfId="14" priority="1">
      <formula>LEN(TRIM(C1))&gt;0</formula>
    </cfRule>
  </conditionalFormatting>
  <conditionalFormatting sqref="C3:C23">
    <cfRule type="notContainsBlanks" dxfId="13" priority="2">
      <formula>LEN(TRIM(C3))&gt;0</formula>
    </cfRule>
  </conditionalFormatting>
  <dataValidations count="1">
    <dataValidation type="list" allowBlank="1" showInputMessage="1" showErrorMessage="1" sqref="F2" xr:uid="{705DDA52-DDAD-4575-8270-3D24D9EB6E9A}">
      <formula1>"Annually,Monthly"</formula1>
    </dataValidation>
  </dataValidations>
  <hyperlinks>
    <hyperlink ref="C1" location="'Total Expenses'!A1" display="'Total Expenses'!A1" xr:uid="{B546539C-2C2E-42D5-80A9-9F199A98A2AA}"/>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B47FD-5990-4DD7-9657-26F1284DEDCF}">
  <sheetPr codeName="Sheet13"/>
  <dimension ref="A1:G40"/>
  <sheetViews>
    <sheetView showGridLines="0" workbookViewId="0">
      <selection activeCell="F5" sqref="F5"/>
    </sheetView>
  </sheetViews>
  <sheetFormatPr defaultRowHeight="12.75" x14ac:dyDescent="0.2"/>
  <cols>
    <col min="1" max="1" width="36.7109375" customWidth="1"/>
    <col min="2" max="2" width="16.7109375" customWidth="1"/>
    <col min="3" max="3" width="32.7109375" customWidth="1"/>
    <col min="4" max="4" width="2.7109375" customWidth="1"/>
    <col min="5" max="5" width="36.7109375" customWidth="1"/>
    <col min="6" max="6" width="16.7109375" customWidth="1"/>
    <col min="7" max="7" width="2.7109375" customWidth="1"/>
  </cols>
  <sheetData>
    <row r="1" spans="1:7" ht="36" customHeight="1" x14ac:dyDescent="0.2">
      <c r="A1" s="9" t="s">
        <v>208</v>
      </c>
      <c r="B1" s="8">
        <f>SUM(B3:B20)/IF(F2="Annually",12,1)</f>
        <v>0</v>
      </c>
      <c r="C1" s="150" t="str">
        <f>"← back to "&amp;'Total Expenses'!$A$1</f>
        <v>← back to Total Expenses</v>
      </c>
      <c r="D1" s="67"/>
      <c r="E1" s="67"/>
      <c r="F1" s="67"/>
      <c r="G1" s="67"/>
    </row>
    <row r="2" spans="1:7" ht="36" customHeight="1" x14ac:dyDescent="0.2">
      <c r="A2" s="10"/>
      <c r="B2" s="11"/>
      <c r="D2" s="68"/>
      <c r="E2" s="95" t="s">
        <v>205</v>
      </c>
      <c r="F2" s="205" t="s">
        <v>41</v>
      </c>
      <c r="G2" s="67"/>
    </row>
    <row r="3" spans="1:7" ht="24" customHeight="1" x14ac:dyDescent="0.2">
      <c r="A3" s="209" t="s">
        <v>8</v>
      </c>
      <c r="B3" s="235">
        <f>F3</f>
        <v>0</v>
      </c>
      <c r="C3" s="156" t="s">
        <v>199</v>
      </c>
      <c r="D3" s="68"/>
      <c r="E3" s="33" t="str">
        <f>A3&amp;" (details)"</f>
        <v>Subscriptions (details)</v>
      </c>
      <c r="F3" s="32">
        <f>SUM(F4:F11)</f>
        <v>0</v>
      </c>
      <c r="G3" s="67"/>
    </row>
    <row r="4" spans="1:7" ht="24" customHeight="1" x14ac:dyDescent="0.2">
      <c r="A4" s="193" t="s">
        <v>251</v>
      </c>
      <c r="B4" s="234">
        <f>F13</f>
        <v>0</v>
      </c>
      <c r="C4" s="156" t="s">
        <v>199</v>
      </c>
      <c r="D4" s="68"/>
      <c r="E4" s="193" t="s">
        <v>355</v>
      </c>
      <c r="F4" s="194">
        <v>0</v>
      </c>
      <c r="G4" s="67"/>
    </row>
    <row r="5" spans="1:7" ht="24" customHeight="1" x14ac:dyDescent="0.2">
      <c r="A5" s="193" t="s">
        <v>252</v>
      </c>
      <c r="B5" s="234">
        <f>F21</f>
        <v>0</v>
      </c>
      <c r="C5" s="156" t="s">
        <v>199</v>
      </c>
      <c r="D5" s="68"/>
      <c r="E5" s="193"/>
      <c r="F5" s="194"/>
      <c r="G5" s="67"/>
    </row>
    <row r="6" spans="1:7" ht="24" customHeight="1" x14ac:dyDescent="0.2">
      <c r="A6" s="193" t="s">
        <v>356</v>
      </c>
      <c r="B6" s="157">
        <v>0</v>
      </c>
      <c r="C6" s="156"/>
      <c r="D6" s="68"/>
      <c r="E6" s="193"/>
      <c r="F6" s="194"/>
      <c r="G6" s="67"/>
    </row>
    <row r="7" spans="1:7" ht="24" customHeight="1" x14ac:dyDescent="0.2">
      <c r="A7" s="193" t="s">
        <v>357</v>
      </c>
      <c r="B7" s="157">
        <v>0</v>
      </c>
      <c r="C7" s="156"/>
      <c r="D7" s="68"/>
      <c r="E7" s="193"/>
      <c r="F7" s="194"/>
      <c r="G7" s="67"/>
    </row>
    <row r="8" spans="1:7" ht="24" customHeight="1" x14ac:dyDescent="0.2">
      <c r="A8" s="193"/>
      <c r="B8" s="157"/>
      <c r="C8" s="156"/>
      <c r="D8" s="68"/>
      <c r="E8" s="193"/>
      <c r="F8" s="194"/>
      <c r="G8" s="67"/>
    </row>
    <row r="9" spans="1:7" ht="24" customHeight="1" x14ac:dyDescent="0.2">
      <c r="A9" s="193"/>
      <c r="B9" s="157"/>
      <c r="C9" s="156"/>
      <c r="D9" s="68"/>
      <c r="E9" s="193"/>
      <c r="F9" s="194"/>
      <c r="G9" s="67"/>
    </row>
    <row r="10" spans="1:7" ht="24" customHeight="1" x14ac:dyDescent="0.2">
      <c r="A10" s="193"/>
      <c r="B10" s="157"/>
      <c r="C10" s="156"/>
      <c r="D10" s="68"/>
      <c r="E10" s="193"/>
      <c r="F10" s="194"/>
      <c r="G10" s="67"/>
    </row>
    <row r="11" spans="1:7" ht="24" customHeight="1" x14ac:dyDescent="0.2">
      <c r="A11" s="193"/>
      <c r="B11" s="157"/>
      <c r="C11" s="156"/>
      <c r="D11" s="68"/>
      <c r="E11" s="193"/>
      <c r="F11" s="194"/>
      <c r="G11" s="67"/>
    </row>
    <row r="12" spans="1:7" ht="24" customHeight="1" x14ac:dyDescent="0.2">
      <c r="A12" s="193"/>
      <c r="B12" s="157"/>
      <c r="C12" s="156"/>
      <c r="D12" s="68"/>
      <c r="E12" s="67"/>
      <c r="F12" s="67"/>
      <c r="G12" s="67"/>
    </row>
    <row r="13" spans="1:7" ht="24" customHeight="1" x14ac:dyDescent="0.2">
      <c r="A13" s="193"/>
      <c r="B13" s="157"/>
      <c r="C13" s="156"/>
      <c r="D13" s="68"/>
      <c r="E13" s="33" t="str">
        <f>A4&amp;" (details)"</f>
        <v>Hobbies (details)</v>
      </c>
      <c r="F13" s="32">
        <f>SUM(F14:F19)</f>
        <v>0</v>
      </c>
      <c r="G13" s="67"/>
    </row>
    <row r="14" spans="1:7" ht="24" customHeight="1" x14ac:dyDescent="0.2">
      <c r="A14" s="193"/>
      <c r="B14" s="157"/>
      <c r="C14" s="156"/>
      <c r="D14" s="68"/>
      <c r="E14" s="187"/>
      <c r="F14" s="208"/>
      <c r="G14" s="67"/>
    </row>
    <row r="15" spans="1:7" ht="24" customHeight="1" x14ac:dyDescent="0.2">
      <c r="A15" s="193"/>
      <c r="B15" s="157"/>
      <c r="C15" s="156"/>
      <c r="D15" s="68"/>
      <c r="E15" s="193"/>
      <c r="F15" s="194"/>
      <c r="G15" s="67"/>
    </row>
    <row r="16" spans="1:7" ht="24" customHeight="1" x14ac:dyDescent="0.2">
      <c r="A16" s="193"/>
      <c r="B16" s="157"/>
      <c r="C16" s="156"/>
      <c r="D16" s="68"/>
      <c r="E16" s="193"/>
      <c r="F16" s="194"/>
      <c r="G16" s="67"/>
    </row>
    <row r="17" spans="1:7" ht="24" customHeight="1" x14ac:dyDescent="0.2">
      <c r="A17" s="193"/>
      <c r="B17" s="157"/>
      <c r="C17" s="156"/>
      <c r="D17" s="68"/>
      <c r="E17" s="193"/>
      <c r="F17" s="194"/>
      <c r="G17" s="67"/>
    </row>
    <row r="18" spans="1:7" ht="24" customHeight="1" x14ac:dyDescent="0.2">
      <c r="A18" s="193"/>
      <c r="B18" s="157"/>
      <c r="C18" s="156"/>
      <c r="D18" s="68"/>
      <c r="E18" s="193"/>
      <c r="F18" s="194"/>
      <c r="G18" s="67"/>
    </row>
    <row r="19" spans="1:7" ht="24" customHeight="1" x14ac:dyDescent="0.2">
      <c r="A19" s="193"/>
      <c r="B19" s="157"/>
      <c r="C19" s="156"/>
      <c r="D19" s="68"/>
      <c r="E19" s="193"/>
      <c r="F19" s="194"/>
      <c r="G19" s="67"/>
    </row>
    <row r="20" spans="1:7" ht="24" customHeight="1" x14ac:dyDescent="0.2">
      <c r="A20" s="193"/>
      <c r="B20" s="157"/>
      <c r="C20" s="156"/>
      <c r="D20" s="68"/>
      <c r="E20" s="67"/>
      <c r="F20" s="67"/>
      <c r="G20" s="67"/>
    </row>
    <row r="21" spans="1:7" ht="24" customHeight="1" x14ac:dyDescent="0.2">
      <c r="A21" s="64"/>
      <c r="B21" s="87"/>
      <c r="C21" s="60"/>
      <c r="D21" s="68"/>
      <c r="E21" s="33" t="str">
        <f>A5&amp;" (details)"</f>
        <v>Pets (details)</v>
      </c>
      <c r="F21" s="32">
        <f>SUM(F22:F27)</f>
        <v>0</v>
      </c>
      <c r="G21" s="67"/>
    </row>
    <row r="22" spans="1:7" ht="24" customHeight="1" x14ac:dyDescent="0.2">
      <c r="A22" s="6"/>
      <c r="B22" s="61"/>
      <c r="C22" s="60"/>
      <c r="D22" s="68"/>
      <c r="E22" s="193"/>
      <c r="F22" s="194"/>
      <c r="G22" s="67"/>
    </row>
    <row r="23" spans="1:7" ht="24" customHeight="1" x14ac:dyDescent="0.2">
      <c r="A23" s="6"/>
      <c r="B23" s="61"/>
      <c r="D23" s="68"/>
      <c r="E23" s="193"/>
      <c r="F23" s="194"/>
      <c r="G23" s="67"/>
    </row>
    <row r="24" spans="1:7" ht="24" customHeight="1" x14ac:dyDescent="0.2">
      <c r="A24" s="6"/>
      <c r="B24" s="61"/>
      <c r="D24" s="68"/>
      <c r="E24" s="193"/>
      <c r="F24" s="194"/>
      <c r="G24" s="67"/>
    </row>
    <row r="25" spans="1:7" ht="24" customHeight="1" x14ac:dyDescent="0.2">
      <c r="A25" s="6"/>
      <c r="B25" s="61"/>
      <c r="D25" s="68"/>
      <c r="E25" s="193"/>
      <c r="F25" s="194"/>
      <c r="G25" s="67"/>
    </row>
    <row r="26" spans="1:7" ht="24" customHeight="1" x14ac:dyDescent="0.2">
      <c r="A26" s="6"/>
      <c r="B26" s="61"/>
      <c r="D26" s="68"/>
      <c r="E26" s="193"/>
      <c r="F26" s="194"/>
      <c r="G26" s="67"/>
    </row>
    <row r="27" spans="1:7" ht="24" customHeight="1" x14ac:dyDescent="0.2">
      <c r="A27" s="6"/>
      <c r="B27" s="61"/>
      <c r="D27" s="68"/>
      <c r="E27" s="193"/>
      <c r="F27" s="194"/>
      <c r="G27" s="67"/>
    </row>
    <row r="28" spans="1:7" ht="24" customHeight="1" x14ac:dyDescent="0.2">
      <c r="A28" s="6"/>
      <c r="B28" s="61"/>
      <c r="D28" s="68"/>
      <c r="E28" s="67"/>
      <c r="F28" s="67"/>
      <c r="G28" s="67"/>
    </row>
    <row r="29" spans="1:7" ht="24" customHeight="1" x14ac:dyDescent="0.2">
      <c r="A29" s="6"/>
      <c r="B29" s="61"/>
    </row>
    <row r="30" spans="1:7" ht="24" customHeight="1" x14ac:dyDescent="0.2">
      <c r="A30" s="6"/>
      <c r="B30" s="61"/>
    </row>
    <row r="31" spans="1:7" ht="24" customHeight="1" x14ac:dyDescent="0.2">
      <c r="A31" s="6"/>
      <c r="B31" s="61"/>
    </row>
    <row r="32" spans="1:7" ht="24" customHeight="1" x14ac:dyDescent="0.2">
      <c r="A32" s="6"/>
      <c r="B32" s="61"/>
    </row>
    <row r="33" spans="1:2" ht="24" customHeight="1" x14ac:dyDescent="0.2">
      <c r="A33" s="6"/>
      <c r="B33" s="61"/>
    </row>
    <row r="34" spans="1:2" ht="24" customHeight="1" x14ac:dyDescent="0.2">
      <c r="A34" s="6"/>
      <c r="B34" s="61"/>
    </row>
    <row r="35" spans="1:2" ht="24" customHeight="1" x14ac:dyDescent="0.2">
      <c r="A35" s="6"/>
      <c r="B35" s="61"/>
    </row>
    <row r="36" spans="1:2" ht="24" customHeight="1" x14ac:dyDescent="0.2">
      <c r="A36" s="6"/>
      <c r="B36" s="61"/>
    </row>
    <row r="37" spans="1:2" ht="24" customHeight="1" x14ac:dyDescent="0.2">
      <c r="A37" s="6"/>
      <c r="B37" s="61"/>
    </row>
    <row r="38" spans="1:2" ht="24" customHeight="1" x14ac:dyDescent="0.2">
      <c r="A38" s="6"/>
      <c r="B38" s="61"/>
    </row>
    <row r="39" spans="1:2" ht="24" customHeight="1" x14ac:dyDescent="0.2">
      <c r="A39" s="6"/>
      <c r="B39" s="61"/>
    </row>
    <row r="40" spans="1:2" ht="24" customHeight="1" x14ac:dyDescent="0.2">
      <c r="A40" s="6"/>
      <c r="B40" s="61"/>
    </row>
  </sheetData>
  <sheetProtection algorithmName="SHA-512" hashValue="nVxx9/GQTViA2wMyFocNDB6BLGoylnVg7NLOjWUej+D/zSZbaFl5x61loW+byEuqFM4EtZi/qxQKLhYatAMxbQ==" saltValue="XhLPsShCDQRJcm9sU7kkww==" spinCount="100000" sheet="1" objects="1" scenarios="1"/>
  <conditionalFormatting sqref="C1">
    <cfRule type="notContainsBlanks" dxfId="12" priority="1">
      <formula>LEN(TRIM(C1))&gt;0</formula>
    </cfRule>
  </conditionalFormatting>
  <conditionalFormatting sqref="C3:C5">
    <cfRule type="notContainsBlanks" dxfId="11" priority="2">
      <formula>LEN(TRIM(C3))&gt;0</formula>
    </cfRule>
  </conditionalFormatting>
  <dataValidations count="1">
    <dataValidation type="list" allowBlank="1" showInputMessage="1" showErrorMessage="1" sqref="F2" xr:uid="{23DB0E41-47AE-4082-9C2A-E7C813B33053}">
      <formula1>"Annually,Monthly"</formula1>
    </dataValidation>
  </dataValidations>
  <hyperlinks>
    <hyperlink ref="C1" location="'Total Expenses'!A1" display="'Total Expenses'!A1" xr:uid="{34BA67EA-102B-4288-9DA5-FB4FBB6FE522}"/>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527D7-7F97-44D5-8067-B25AD3B5CAE1}">
  <sheetPr codeName="Sheet14"/>
  <dimension ref="A1:G38"/>
  <sheetViews>
    <sheetView showGridLines="0" workbookViewId="0">
      <selection activeCell="A8" sqref="A8"/>
    </sheetView>
  </sheetViews>
  <sheetFormatPr defaultRowHeight="12.75" x14ac:dyDescent="0.2"/>
  <cols>
    <col min="1" max="1" width="36.7109375" customWidth="1"/>
    <col min="2" max="2" width="16.7109375" customWidth="1"/>
    <col min="3" max="3" width="32.7109375" customWidth="1"/>
    <col min="4" max="4" width="2.7109375" customWidth="1"/>
    <col min="5" max="5" width="36.7109375" customWidth="1"/>
    <col min="6" max="6" width="16.7109375" customWidth="1"/>
    <col min="7" max="7" width="2.7109375" customWidth="1"/>
    <col min="8" max="8" width="6.7109375" customWidth="1"/>
  </cols>
  <sheetData>
    <row r="1" spans="1:7" ht="36" customHeight="1" x14ac:dyDescent="0.2">
      <c r="A1" s="9" t="s">
        <v>212</v>
      </c>
      <c r="B1" s="8">
        <f>SUM(B3:B20)/IF(F2="Annually",12,1)</f>
        <v>0</v>
      </c>
      <c r="C1" s="150" t="str">
        <f>"← back to "&amp;'Total Expenses'!$A$1</f>
        <v>← back to Total Expenses</v>
      </c>
      <c r="D1" s="67"/>
      <c r="E1" s="67"/>
      <c r="F1" s="67"/>
      <c r="G1" s="67"/>
    </row>
    <row r="2" spans="1:7" ht="36" customHeight="1" x14ac:dyDescent="0.2">
      <c r="A2" s="10"/>
      <c r="B2" s="11"/>
      <c r="D2" s="67"/>
      <c r="E2" s="95" t="s">
        <v>205</v>
      </c>
      <c r="F2" s="205" t="s">
        <v>206</v>
      </c>
      <c r="G2" s="67"/>
    </row>
    <row r="3" spans="1:7" ht="24" customHeight="1" x14ac:dyDescent="0.2">
      <c r="A3" s="197" t="s">
        <v>213</v>
      </c>
      <c r="B3" s="234">
        <f>F3</f>
        <v>0</v>
      </c>
      <c r="C3" s="156" t="s">
        <v>199</v>
      </c>
      <c r="D3" s="68"/>
      <c r="E3" s="33" t="str">
        <f>A3&amp;" (details)"</f>
        <v>Relatives (details)</v>
      </c>
      <c r="F3" s="32">
        <f>SUM(F4:F11)</f>
        <v>0</v>
      </c>
      <c r="G3" s="71"/>
    </row>
    <row r="4" spans="1:7" ht="24" customHeight="1" x14ac:dyDescent="0.2">
      <c r="A4" s="197" t="s">
        <v>214</v>
      </c>
      <c r="B4" s="234">
        <f>F13</f>
        <v>0</v>
      </c>
      <c r="C4" s="156" t="s">
        <v>199</v>
      </c>
      <c r="D4" s="68"/>
      <c r="E4" s="206" t="s">
        <v>358</v>
      </c>
      <c r="F4" s="207">
        <v>0</v>
      </c>
      <c r="G4" s="68"/>
    </row>
    <row r="5" spans="1:7" ht="24" customHeight="1" x14ac:dyDescent="0.2">
      <c r="A5" s="197" t="s">
        <v>173</v>
      </c>
      <c r="B5" s="234">
        <f>F21</f>
        <v>0</v>
      </c>
      <c r="C5" s="156" t="s">
        <v>199</v>
      </c>
      <c r="D5" s="68"/>
      <c r="E5" s="193"/>
      <c r="F5" s="155"/>
      <c r="G5" s="68"/>
    </row>
    <row r="6" spans="1:7" ht="24" customHeight="1" x14ac:dyDescent="0.2">
      <c r="A6" s="197"/>
      <c r="B6" s="200">
        <v>0</v>
      </c>
      <c r="C6" s="156"/>
      <c r="D6" s="68"/>
      <c r="E6" s="193"/>
      <c r="F6" s="155"/>
      <c r="G6" s="68"/>
    </row>
    <row r="7" spans="1:7" ht="24" customHeight="1" x14ac:dyDescent="0.2">
      <c r="A7" s="197"/>
      <c r="B7" s="200">
        <v>0</v>
      </c>
      <c r="C7" s="156"/>
      <c r="D7" s="68"/>
      <c r="E7" s="193"/>
      <c r="F7" s="155"/>
      <c r="G7" s="68"/>
    </row>
    <row r="8" spans="1:7" ht="24" customHeight="1" x14ac:dyDescent="0.2">
      <c r="A8" s="197"/>
      <c r="B8" s="200">
        <v>0</v>
      </c>
      <c r="C8" s="156"/>
      <c r="D8" s="68"/>
      <c r="E8" s="193"/>
      <c r="F8" s="155"/>
      <c r="G8" s="68"/>
    </row>
    <row r="9" spans="1:7" ht="24" customHeight="1" x14ac:dyDescent="0.2">
      <c r="A9" s="197"/>
      <c r="B9" s="200"/>
      <c r="C9" s="156"/>
      <c r="D9" s="68"/>
      <c r="E9" s="193"/>
      <c r="F9" s="155"/>
      <c r="G9" s="71"/>
    </row>
    <row r="10" spans="1:7" ht="24" customHeight="1" x14ac:dyDescent="0.2">
      <c r="A10" s="197"/>
      <c r="B10" s="200"/>
      <c r="C10" s="156"/>
      <c r="D10" s="68"/>
      <c r="E10" s="193"/>
      <c r="F10" s="155"/>
      <c r="G10" s="71"/>
    </row>
    <row r="11" spans="1:7" ht="24" customHeight="1" x14ac:dyDescent="0.2">
      <c r="A11" s="197"/>
      <c r="B11" s="200"/>
      <c r="C11" s="156"/>
      <c r="D11" s="68"/>
      <c r="E11" s="193"/>
      <c r="F11" s="155"/>
      <c r="G11" s="68"/>
    </row>
    <row r="12" spans="1:7" ht="24" customHeight="1" x14ac:dyDescent="0.2">
      <c r="A12" s="197"/>
      <c r="B12" s="200"/>
      <c r="C12" s="156"/>
      <c r="D12" s="68"/>
      <c r="E12" s="67"/>
      <c r="F12" s="67"/>
      <c r="G12" s="68"/>
    </row>
    <row r="13" spans="1:7" ht="24" customHeight="1" x14ac:dyDescent="0.2">
      <c r="A13" s="197"/>
      <c r="B13" s="200"/>
      <c r="C13" s="156"/>
      <c r="D13" s="68"/>
      <c r="E13" s="33" t="str">
        <f>A4&amp;" (details)"</f>
        <v>Charities (details)</v>
      </c>
      <c r="F13" s="32">
        <f>SUM(F14:F19)</f>
        <v>0</v>
      </c>
      <c r="G13" s="68"/>
    </row>
    <row r="14" spans="1:7" ht="24" customHeight="1" x14ac:dyDescent="0.2">
      <c r="A14" s="197"/>
      <c r="B14" s="200"/>
      <c r="C14" s="156"/>
      <c r="D14" s="68"/>
      <c r="E14" s="206" t="s">
        <v>352</v>
      </c>
      <c r="F14" s="207">
        <v>0</v>
      </c>
      <c r="G14" s="68"/>
    </row>
    <row r="15" spans="1:7" ht="24" customHeight="1" x14ac:dyDescent="0.2">
      <c r="A15" s="197"/>
      <c r="B15" s="200"/>
      <c r="C15" s="156"/>
      <c r="D15" s="68"/>
      <c r="E15" s="193"/>
      <c r="F15" s="155"/>
      <c r="G15" s="71"/>
    </row>
    <row r="16" spans="1:7" ht="24" customHeight="1" x14ac:dyDescent="0.2">
      <c r="A16" s="197"/>
      <c r="B16" s="200"/>
      <c r="C16" s="156"/>
      <c r="D16" s="68"/>
      <c r="E16" s="193"/>
      <c r="F16" s="155"/>
      <c r="G16" s="71"/>
    </row>
    <row r="17" spans="1:7" ht="24" customHeight="1" x14ac:dyDescent="0.2">
      <c r="A17" s="197"/>
      <c r="B17" s="200"/>
      <c r="C17" s="156"/>
      <c r="D17" s="68"/>
      <c r="E17" s="193"/>
      <c r="F17" s="155"/>
      <c r="G17" s="68"/>
    </row>
    <row r="18" spans="1:7" ht="24" customHeight="1" x14ac:dyDescent="0.2">
      <c r="A18" s="197"/>
      <c r="B18" s="200"/>
      <c r="C18" s="156"/>
      <c r="D18" s="68"/>
      <c r="E18" s="193"/>
      <c r="F18" s="155"/>
      <c r="G18" s="68"/>
    </row>
    <row r="19" spans="1:7" ht="24" customHeight="1" x14ac:dyDescent="0.2">
      <c r="A19" s="197"/>
      <c r="B19" s="200"/>
      <c r="C19" s="156"/>
      <c r="D19" s="67"/>
      <c r="E19" s="193"/>
      <c r="F19" s="155"/>
      <c r="G19" s="68"/>
    </row>
    <row r="20" spans="1:7" ht="24" customHeight="1" x14ac:dyDescent="0.2">
      <c r="A20" s="197"/>
      <c r="B20" s="200"/>
      <c r="C20" s="156"/>
      <c r="D20" s="67"/>
      <c r="E20" s="67"/>
      <c r="F20" s="67"/>
      <c r="G20" s="68"/>
    </row>
    <row r="21" spans="1:7" ht="24" customHeight="1" x14ac:dyDescent="0.2">
      <c r="A21" s="6"/>
      <c r="B21" s="61"/>
      <c r="D21" s="67"/>
      <c r="E21" s="33" t="str">
        <f>A5&amp;" (details)"</f>
        <v>Other (details)</v>
      </c>
      <c r="F21" s="32">
        <f>SUM(F22:F27)</f>
        <v>0</v>
      </c>
      <c r="G21" s="71"/>
    </row>
    <row r="22" spans="1:7" ht="24" customHeight="1" x14ac:dyDescent="0.2">
      <c r="A22" s="6"/>
      <c r="B22" s="61"/>
      <c r="D22" s="67"/>
      <c r="E22" s="193"/>
      <c r="F22" s="155"/>
      <c r="G22" s="67"/>
    </row>
    <row r="23" spans="1:7" ht="24" customHeight="1" x14ac:dyDescent="0.2">
      <c r="A23" s="6"/>
      <c r="B23" s="61"/>
      <c r="D23" s="67"/>
      <c r="E23" s="193"/>
      <c r="F23" s="155"/>
      <c r="G23" s="68"/>
    </row>
    <row r="24" spans="1:7" ht="24" customHeight="1" x14ac:dyDescent="0.2">
      <c r="A24" s="6"/>
      <c r="B24" s="61"/>
      <c r="D24" s="67"/>
      <c r="E24" s="193"/>
      <c r="F24" s="155"/>
      <c r="G24" s="68"/>
    </row>
    <row r="25" spans="1:7" ht="24" customHeight="1" x14ac:dyDescent="0.2">
      <c r="A25" s="6"/>
      <c r="B25" s="61"/>
      <c r="D25" s="67"/>
      <c r="E25" s="193"/>
      <c r="F25" s="155"/>
      <c r="G25" s="68"/>
    </row>
    <row r="26" spans="1:7" ht="24" customHeight="1" x14ac:dyDescent="0.2">
      <c r="A26" s="6"/>
      <c r="B26" s="61"/>
      <c r="D26" s="67"/>
      <c r="E26" s="193"/>
      <c r="F26" s="155"/>
      <c r="G26" s="68"/>
    </row>
    <row r="27" spans="1:7" ht="24" customHeight="1" x14ac:dyDescent="0.2">
      <c r="A27" s="6"/>
      <c r="B27" s="61"/>
      <c r="D27" s="67"/>
      <c r="E27" s="193"/>
      <c r="F27" s="155"/>
      <c r="G27" s="68"/>
    </row>
    <row r="28" spans="1:7" ht="24" customHeight="1" x14ac:dyDescent="0.2">
      <c r="A28" s="6"/>
      <c r="B28" s="61"/>
      <c r="D28" s="67"/>
      <c r="E28" s="67"/>
      <c r="F28" s="67"/>
      <c r="G28" s="67"/>
    </row>
    <row r="29" spans="1:7" ht="24" customHeight="1" x14ac:dyDescent="0.2">
      <c r="A29" s="6"/>
      <c r="B29" s="61"/>
    </row>
    <row r="30" spans="1:7" ht="24" customHeight="1" x14ac:dyDescent="0.2">
      <c r="A30" s="6"/>
      <c r="B30" s="61"/>
    </row>
    <row r="31" spans="1:7" ht="24" customHeight="1" x14ac:dyDescent="0.2">
      <c r="A31" s="6"/>
      <c r="B31" s="61"/>
    </row>
    <row r="32" spans="1:7" ht="24" customHeight="1" x14ac:dyDescent="0.2">
      <c r="A32" s="6"/>
      <c r="B32" s="61"/>
    </row>
    <row r="33" spans="1:2" ht="24" customHeight="1" x14ac:dyDescent="0.2">
      <c r="A33" s="6"/>
      <c r="B33" s="61"/>
    </row>
    <row r="34" spans="1:2" ht="24" customHeight="1" x14ac:dyDescent="0.2">
      <c r="A34" s="6"/>
      <c r="B34" s="61"/>
    </row>
    <row r="35" spans="1:2" ht="24" customHeight="1" x14ac:dyDescent="0.2">
      <c r="A35" s="6"/>
      <c r="B35" s="61"/>
    </row>
    <row r="36" spans="1:2" ht="24" customHeight="1" x14ac:dyDescent="0.2">
      <c r="A36" s="6"/>
      <c r="B36" s="61"/>
    </row>
    <row r="37" spans="1:2" ht="24" customHeight="1" x14ac:dyDescent="0.2">
      <c r="A37" s="6"/>
      <c r="B37" s="61"/>
    </row>
    <row r="38" spans="1:2" ht="24" customHeight="1" x14ac:dyDescent="0.2">
      <c r="A38" s="6"/>
      <c r="B38" s="61"/>
    </row>
  </sheetData>
  <sheetProtection algorithmName="SHA-512" hashValue="Uf7GI8DqSVL7hYk0Vw4RItp2oK00wX3ybhPYW2KtPYcdq1DLxJKCR5dH+GaTZawuZ4vJ2QacrE/AW2QpNEyleQ==" saltValue="TVa2paR42xWv8C1VFsTnKQ==" spinCount="100000" sheet="1" objects="1" scenarios="1"/>
  <conditionalFormatting sqref="C1 C3:C20 G11:G14 G17:G20">
    <cfRule type="notContainsBlanks" dxfId="10" priority="1">
      <formula>LEN(TRIM(C1))&gt;0</formula>
    </cfRule>
  </conditionalFormatting>
  <conditionalFormatting sqref="G4:G8 G23:G27">
    <cfRule type="notContainsBlanks" dxfId="9" priority="2">
      <formula>LEN(TRIM(G4))&gt;0</formula>
    </cfRule>
  </conditionalFormatting>
  <dataValidations count="1">
    <dataValidation type="list" allowBlank="1" showInputMessage="1" showErrorMessage="1" sqref="F2" xr:uid="{95B4AB9D-7CD0-4D91-8822-DAC6F4936C28}">
      <formula1>"Annually,Monthly"</formula1>
    </dataValidation>
  </dataValidations>
  <hyperlinks>
    <hyperlink ref="C1" location="'Total Expenses'!A1" display="'Total Expenses'!A1" xr:uid="{8A609B3B-53E8-4BA3-8C65-39B4C1EA05D9}"/>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46540-BFB7-456F-98FF-EA72BAAF6996}">
  <sheetPr codeName="Sheet15"/>
  <dimension ref="A1:E39"/>
  <sheetViews>
    <sheetView showGridLines="0" workbookViewId="0">
      <selection activeCell="E4" sqref="E4"/>
    </sheetView>
  </sheetViews>
  <sheetFormatPr defaultRowHeight="12.75" x14ac:dyDescent="0.2"/>
  <cols>
    <col min="1" max="1" width="36.7109375" customWidth="1"/>
    <col min="2" max="4" width="16.7109375" customWidth="1"/>
    <col min="5" max="5" width="32.7109375" customWidth="1"/>
    <col min="6" max="6" width="4.7109375" customWidth="1"/>
  </cols>
  <sheetData>
    <row r="1" spans="1:5" ht="36" customHeight="1" x14ac:dyDescent="0.2">
      <c r="A1" s="9" t="s">
        <v>131</v>
      </c>
      <c r="B1" s="8">
        <f>SUMIF(E4:E20,"Include in Debt Payments",B4:B20)</f>
        <v>0</v>
      </c>
      <c r="C1" s="296" t="str">
        <f>"← back to "&amp;'Total Expenses'!$A$1</f>
        <v>← back to Total Expenses</v>
      </c>
      <c r="D1" s="297"/>
    </row>
    <row r="2" spans="1:5" ht="36" customHeight="1" x14ac:dyDescent="0.2">
      <c r="A2" s="10"/>
      <c r="B2" s="11"/>
      <c r="C2" s="30"/>
    </row>
    <row r="3" spans="1:5" ht="24" customHeight="1" x14ac:dyDescent="0.2">
      <c r="A3" s="89"/>
      <c r="B3" s="57" t="s">
        <v>150</v>
      </c>
      <c r="C3" s="57" t="s">
        <v>149</v>
      </c>
      <c r="D3" s="57" t="s">
        <v>148</v>
      </c>
    </row>
    <row r="4" spans="1:5" ht="24" customHeight="1" x14ac:dyDescent="0.2">
      <c r="A4" s="185" t="s">
        <v>4</v>
      </c>
      <c r="B4" s="181">
        <v>0</v>
      </c>
      <c r="C4" s="210">
        <v>4.4999999999999998E-2</v>
      </c>
      <c r="D4" s="211">
        <v>0</v>
      </c>
      <c r="E4" s="156" t="s">
        <v>74</v>
      </c>
    </row>
    <row r="5" spans="1:5" ht="24" customHeight="1" x14ac:dyDescent="0.2">
      <c r="A5" s="184" t="s">
        <v>146</v>
      </c>
      <c r="B5" s="178">
        <v>0</v>
      </c>
      <c r="C5" s="210">
        <v>7.2499999999999995E-2</v>
      </c>
      <c r="D5" s="180">
        <v>0</v>
      </c>
      <c r="E5" s="156" t="s">
        <v>72</v>
      </c>
    </row>
    <row r="6" spans="1:5" ht="24" customHeight="1" x14ac:dyDescent="0.2">
      <c r="A6" s="184" t="s">
        <v>147</v>
      </c>
      <c r="B6" s="178">
        <v>0</v>
      </c>
      <c r="C6" s="210">
        <v>0.1875</v>
      </c>
      <c r="D6" s="180">
        <v>0</v>
      </c>
      <c r="E6" s="156" t="s">
        <v>196</v>
      </c>
    </row>
    <row r="7" spans="1:5" ht="24" customHeight="1" x14ac:dyDescent="0.2">
      <c r="A7" s="184" t="s">
        <v>93</v>
      </c>
      <c r="B7" s="181">
        <v>0</v>
      </c>
      <c r="C7" s="210">
        <v>0</v>
      </c>
      <c r="D7" s="180">
        <v>0</v>
      </c>
      <c r="E7" s="158"/>
    </row>
    <row r="8" spans="1:5" ht="24" customHeight="1" x14ac:dyDescent="0.2">
      <c r="A8" s="184"/>
      <c r="B8" s="178"/>
      <c r="C8" s="210"/>
      <c r="D8" s="180"/>
      <c r="E8" s="158"/>
    </row>
    <row r="9" spans="1:5" ht="24" customHeight="1" x14ac:dyDescent="0.2">
      <c r="A9" s="184"/>
      <c r="B9" s="178"/>
      <c r="C9" s="210"/>
      <c r="D9" s="180"/>
      <c r="E9" s="158"/>
    </row>
    <row r="10" spans="1:5" ht="24" customHeight="1" x14ac:dyDescent="0.2">
      <c r="A10" s="184"/>
      <c r="B10" s="178"/>
      <c r="C10" s="210"/>
      <c r="D10" s="180"/>
      <c r="E10" s="158"/>
    </row>
    <row r="11" spans="1:5" ht="24" customHeight="1" x14ac:dyDescent="0.2">
      <c r="A11" s="184"/>
      <c r="B11" s="178"/>
      <c r="C11" s="210"/>
      <c r="D11" s="180"/>
      <c r="E11" s="158"/>
    </row>
    <row r="12" spans="1:5" ht="24" customHeight="1" x14ac:dyDescent="0.2">
      <c r="A12" s="184"/>
      <c r="B12" s="178"/>
      <c r="C12" s="210"/>
      <c r="D12" s="180"/>
      <c r="E12" s="158"/>
    </row>
    <row r="13" spans="1:5" ht="24" customHeight="1" x14ac:dyDescent="0.2">
      <c r="A13" s="184"/>
      <c r="B13" s="178"/>
      <c r="C13" s="210"/>
      <c r="D13" s="180"/>
      <c r="E13" s="158"/>
    </row>
    <row r="14" spans="1:5" ht="24" customHeight="1" x14ac:dyDescent="0.2">
      <c r="A14" s="184"/>
      <c r="B14" s="178"/>
      <c r="C14" s="210"/>
      <c r="D14" s="180"/>
      <c r="E14" s="158"/>
    </row>
    <row r="15" spans="1:5" ht="24" customHeight="1" x14ac:dyDescent="0.2">
      <c r="A15" s="184"/>
      <c r="B15" s="178"/>
      <c r="C15" s="210"/>
      <c r="D15" s="180"/>
      <c r="E15" s="158"/>
    </row>
    <row r="16" spans="1:5" ht="24" customHeight="1" x14ac:dyDescent="0.2">
      <c r="A16" s="184"/>
      <c r="B16" s="178"/>
      <c r="C16" s="210"/>
      <c r="D16" s="180"/>
      <c r="E16" s="158"/>
    </row>
    <row r="17" spans="1:5" ht="24" customHeight="1" x14ac:dyDescent="0.2">
      <c r="A17" s="184"/>
      <c r="B17" s="178"/>
      <c r="C17" s="210"/>
      <c r="D17" s="180"/>
      <c r="E17" s="158"/>
    </row>
    <row r="18" spans="1:5" ht="24" customHeight="1" x14ac:dyDescent="0.2">
      <c r="A18" s="184"/>
      <c r="B18" s="178"/>
      <c r="C18" s="210"/>
      <c r="D18" s="180"/>
      <c r="E18" s="158"/>
    </row>
    <row r="19" spans="1:5" ht="24" customHeight="1" x14ac:dyDescent="0.2">
      <c r="A19" s="184"/>
      <c r="B19" s="178"/>
      <c r="C19" s="210"/>
      <c r="D19" s="180"/>
      <c r="E19" s="158"/>
    </row>
    <row r="20" spans="1:5" ht="24" customHeight="1" x14ac:dyDescent="0.2">
      <c r="A20" s="184"/>
      <c r="B20" s="178"/>
      <c r="C20" s="210"/>
      <c r="D20" s="180"/>
      <c r="E20" s="158"/>
    </row>
    <row r="21" spans="1:5" ht="24" customHeight="1" x14ac:dyDescent="0.2">
      <c r="A21" s="86"/>
      <c r="B21" s="87"/>
    </row>
    <row r="22" spans="1:5" ht="24" customHeight="1" x14ac:dyDescent="0.2">
      <c r="A22" s="6"/>
      <c r="B22" s="61"/>
    </row>
    <row r="23" spans="1:5" ht="24" customHeight="1" x14ac:dyDescent="0.2">
      <c r="A23" s="6"/>
      <c r="B23" s="61"/>
    </row>
    <row r="24" spans="1:5" ht="24" customHeight="1" x14ac:dyDescent="0.2">
      <c r="A24" s="6"/>
      <c r="B24" s="61"/>
    </row>
    <row r="25" spans="1:5" ht="24" customHeight="1" x14ac:dyDescent="0.2">
      <c r="A25" s="6"/>
      <c r="B25" s="61"/>
    </row>
    <row r="26" spans="1:5" ht="24" customHeight="1" x14ac:dyDescent="0.2">
      <c r="A26" s="6"/>
      <c r="B26" s="61"/>
    </row>
    <row r="27" spans="1:5" ht="24" customHeight="1" x14ac:dyDescent="0.2">
      <c r="A27" s="6"/>
      <c r="B27" s="61"/>
    </row>
    <row r="28" spans="1:5" ht="24" customHeight="1" x14ac:dyDescent="0.2">
      <c r="A28" s="6"/>
      <c r="B28" s="61"/>
    </row>
    <row r="29" spans="1:5" ht="24" customHeight="1" x14ac:dyDescent="0.2">
      <c r="A29" s="6"/>
      <c r="B29" s="61"/>
    </row>
    <row r="30" spans="1:5" ht="24" customHeight="1" x14ac:dyDescent="0.2">
      <c r="A30" s="6"/>
      <c r="B30" s="61"/>
    </row>
    <row r="31" spans="1:5" ht="24" customHeight="1" x14ac:dyDescent="0.2">
      <c r="A31" s="6"/>
      <c r="B31" s="61"/>
    </row>
    <row r="32" spans="1:5" ht="24" customHeight="1" x14ac:dyDescent="0.2">
      <c r="A32" s="6"/>
      <c r="B32" s="61"/>
    </row>
    <row r="33" spans="1:2" ht="24" customHeight="1" x14ac:dyDescent="0.2">
      <c r="A33" s="6"/>
      <c r="B33" s="61"/>
    </row>
    <row r="34" spans="1:2" ht="24" customHeight="1" x14ac:dyDescent="0.2">
      <c r="A34" s="6"/>
      <c r="B34" s="61"/>
    </row>
    <row r="35" spans="1:2" ht="24" customHeight="1" x14ac:dyDescent="0.2">
      <c r="A35" s="6"/>
      <c r="B35" s="61"/>
    </row>
    <row r="36" spans="1:2" ht="24" customHeight="1" x14ac:dyDescent="0.2">
      <c r="A36" s="6"/>
      <c r="B36" s="61"/>
    </row>
    <row r="37" spans="1:2" ht="24" customHeight="1" x14ac:dyDescent="0.2">
      <c r="A37" s="6"/>
      <c r="B37" s="61"/>
    </row>
    <row r="38" spans="1:2" ht="24" customHeight="1" x14ac:dyDescent="0.2">
      <c r="A38" s="6"/>
      <c r="B38" s="61"/>
    </row>
    <row r="39" spans="1:2" ht="24" customHeight="1" x14ac:dyDescent="0.2">
      <c r="A39" s="6"/>
      <c r="B39" s="61"/>
    </row>
  </sheetData>
  <sheetProtection algorithmName="SHA-512" hashValue="XpkvELXvZKXuXPzD75TJq6cIybgfyuHPuSLps8pfshcK7eg4hpVEEgN+JFW62LKFqumhb9i6fLDGFur5B8iAAw==" saltValue="pgNFN2QZlsw9vRp+mNg1gw==" spinCount="100000" sheet="1" objects="1" scenarios="1"/>
  <mergeCells count="1">
    <mergeCell ref="C1:D1"/>
  </mergeCells>
  <conditionalFormatting sqref="C1">
    <cfRule type="notContainsBlanks" dxfId="8" priority="1">
      <formula>LEN(TRIM(C1))&gt;0</formula>
    </cfRule>
  </conditionalFormatting>
  <conditionalFormatting sqref="E4:E6">
    <cfRule type="notContainsBlanks" dxfId="7" priority="3">
      <formula>LEN(TRIM(E4))&gt;0</formula>
    </cfRule>
  </conditionalFormatting>
  <dataValidations count="2">
    <dataValidation type="list" allowBlank="1" showInputMessage="1" showErrorMessage="1" sqref="E5" xr:uid="{D41A9F3D-92A2-44FC-A452-9063A2996ECD}">
      <formula1>"Include in Transportation,Include in Debt Payments"</formula1>
    </dataValidation>
    <dataValidation type="list" allowBlank="1" showInputMessage="1" showErrorMessage="1" sqref="E4" xr:uid="{49F7C626-1A41-4797-BFA0-079C3DC0C3CE}">
      <formula1>"Include in Housing,Include in Debt Payments"</formula1>
    </dataValidation>
  </dataValidations>
  <hyperlinks>
    <hyperlink ref="C1" location="'Total Expenses'!A1" display="'Total Expenses'!A1" xr:uid="{861D8CA0-CCB0-46EB-A653-50373D5D9661}"/>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1BFDB-0FFA-4F3A-924D-8C40610B210C}">
  <sheetPr codeName="Sheet16"/>
  <dimension ref="A1:AJ107"/>
  <sheetViews>
    <sheetView topLeftCell="A33" workbookViewId="0">
      <pane xSplit="1" topLeftCell="C1" activePane="topRight" state="frozen"/>
      <selection pane="topRight" activeCell="C56" sqref="C56"/>
    </sheetView>
  </sheetViews>
  <sheetFormatPr defaultRowHeight="12.75" x14ac:dyDescent="0.2"/>
  <cols>
    <col min="1" max="1" width="36.7109375" customWidth="1"/>
    <col min="2" max="36" width="16.7109375" customWidth="1"/>
  </cols>
  <sheetData>
    <row r="1" spans="1:36" ht="36" customHeight="1" x14ac:dyDescent="0.2">
      <c r="A1" s="9" t="s">
        <v>42</v>
      </c>
      <c r="B1" s="35">
        <v>1</v>
      </c>
      <c r="C1" s="35">
        <f>B1+1</f>
        <v>2</v>
      </c>
      <c r="D1" s="35">
        <f t="shared" ref="D1:W1" si="0">C1+1</f>
        <v>3</v>
      </c>
      <c r="E1" s="35">
        <f t="shared" si="0"/>
        <v>4</v>
      </c>
      <c r="F1" s="35">
        <f t="shared" si="0"/>
        <v>5</v>
      </c>
      <c r="G1" s="35">
        <f t="shared" si="0"/>
        <v>6</v>
      </c>
      <c r="H1" s="35">
        <f t="shared" si="0"/>
        <v>7</v>
      </c>
      <c r="I1" s="35">
        <f t="shared" si="0"/>
        <v>8</v>
      </c>
      <c r="J1" s="35">
        <f t="shared" si="0"/>
        <v>9</v>
      </c>
      <c r="K1" s="35">
        <f t="shared" si="0"/>
        <v>10</v>
      </c>
      <c r="L1" s="35">
        <f t="shared" si="0"/>
        <v>11</v>
      </c>
      <c r="M1" s="35">
        <f t="shared" si="0"/>
        <v>12</v>
      </c>
      <c r="N1" s="35">
        <f t="shared" si="0"/>
        <v>13</v>
      </c>
      <c r="O1" s="35">
        <f t="shared" si="0"/>
        <v>14</v>
      </c>
      <c r="P1" s="35">
        <f t="shared" si="0"/>
        <v>15</v>
      </c>
      <c r="Q1" s="35">
        <f t="shared" si="0"/>
        <v>16</v>
      </c>
      <c r="R1" s="35">
        <f t="shared" si="0"/>
        <v>17</v>
      </c>
      <c r="S1" s="35">
        <f t="shared" si="0"/>
        <v>18</v>
      </c>
      <c r="T1" s="35">
        <f t="shared" si="0"/>
        <v>19</v>
      </c>
      <c r="U1" s="35">
        <f t="shared" si="0"/>
        <v>20</v>
      </c>
      <c r="V1" s="35">
        <f t="shared" si="0"/>
        <v>21</v>
      </c>
      <c r="W1" s="35">
        <f t="shared" si="0"/>
        <v>22</v>
      </c>
      <c r="X1" s="35">
        <f t="shared" ref="X1:AJ1" si="1">W1+1</f>
        <v>23</v>
      </c>
      <c r="Y1" s="35">
        <f t="shared" si="1"/>
        <v>24</v>
      </c>
      <c r="Z1" s="35">
        <f t="shared" si="1"/>
        <v>25</v>
      </c>
      <c r="AA1" s="35">
        <f t="shared" si="1"/>
        <v>26</v>
      </c>
      <c r="AB1" s="35">
        <f t="shared" si="1"/>
        <v>27</v>
      </c>
      <c r="AC1" s="35">
        <f t="shared" si="1"/>
        <v>28</v>
      </c>
      <c r="AD1" s="35">
        <f t="shared" si="1"/>
        <v>29</v>
      </c>
      <c r="AE1" s="35">
        <f t="shared" si="1"/>
        <v>30</v>
      </c>
      <c r="AF1" s="35">
        <f t="shared" si="1"/>
        <v>31</v>
      </c>
      <c r="AG1" s="35">
        <f t="shared" si="1"/>
        <v>32</v>
      </c>
      <c r="AH1" s="35">
        <f t="shared" si="1"/>
        <v>33</v>
      </c>
      <c r="AI1" s="35">
        <f t="shared" si="1"/>
        <v>34</v>
      </c>
      <c r="AJ1" s="35">
        <f t="shared" si="1"/>
        <v>35</v>
      </c>
    </row>
    <row r="2" spans="1:36" ht="36" customHeight="1" x14ac:dyDescent="0.2">
      <c r="A2" s="10"/>
      <c r="B2" s="11"/>
    </row>
    <row r="3" spans="1:36" ht="24" customHeight="1" x14ac:dyDescent="0.2">
      <c r="A3" s="1" t="s">
        <v>21</v>
      </c>
      <c r="B3" s="20">
        <f>Assumptions!C3+MAX(0,Assumptions!C6-Assumptions!C4)</f>
        <v>2026</v>
      </c>
      <c r="C3" s="20">
        <f>B3+1</f>
        <v>2027</v>
      </c>
      <c r="D3" s="20">
        <f t="shared" ref="D3:W4" si="2">C3+1</f>
        <v>2028</v>
      </c>
      <c r="E3" s="20">
        <f t="shared" si="2"/>
        <v>2029</v>
      </c>
      <c r="F3" s="20">
        <f t="shared" si="2"/>
        <v>2030</v>
      </c>
      <c r="G3" s="20">
        <f t="shared" si="2"/>
        <v>2031</v>
      </c>
      <c r="H3" s="20">
        <f t="shared" si="2"/>
        <v>2032</v>
      </c>
      <c r="I3" s="20">
        <f t="shared" si="2"/>
        <v>2033</v>
      </c>
      <c r="J3" s="20">
        <f t="shared" si="2"/>
        <v>2034</v>
      </c>
      <c r="K3" s="20">
        <f t="shared" si="2"/>
        <v>2035</v>
      </c>
      <c r="L3" s="20">
        <f t="shared" si="2"/>
        <v>2036</v>
      </c>
      <c r="M3" s="20">
        <f t="shared" si="2"/>
        <v>2037</v>
      </c>
      <c r="N3" s="20">
        <f t="shared" si="2"/>
        <v>2038</v>
      </c>
      <c r="O3" s="20">
        <f t="shared" si="2"/>
        <v>2039</v>
      </c>
      <c r="P3" s="20">
        <f t="shared" si="2"/>
        <v>2040</v>
      </c>
      <c r="Q3" s="20">
        <f t="shared" si="2"/>
        <v>2041</v>
      </c>
      <c r="R3" s="20">
        <f t="shared" si="2"/>
        <v>2042</v>
      </c>
      <c r="S3" s="20">
        <f t="shared" si="2"/>
        <v>2043</v>
      </c>
      <c r="T3" s="20">
        <f t="shared" si="2"/>
        <v>2044</v>
      </c>
      <c r="U3" s="20">
        <f t="shared" si="2"/>
        <v>2045</v>
      </c>
      <c r="V3" s="20">
        <f t="shared" si="2"/>
        <v>2046</v>
      </c>
      <c r="W3" s="20">
        <f t="shared" si="2"/>
        <v>2047</v>
      </c>
      <c r="X3" s="20">
        <f t="shared" ref="X3:AJ3" si="3">W3+1</f>
        <v>2048</v>
      </c>
      <c r="Y3" s="20">
        <f t="shared" si="3"/>
        <v>2049</v>
      </c>
      <c r="Z3" s="20">
        <f t="shared" si="3"/>
        <v>2050</v>
      </c>
      <c r="AA3" s="20">
        <f t="shared" si="3"/>
        <v>2051</v>
      </c>
      <c r="AB3" s="20">
        <f t="shared" si="3"/>
        <v>2052</v>
      </c>
      <c r="AC3" s="20">
        <f t="shared" si="3"/>
        <v>2053</v>
      </c>
      <c r="AD3" s="20">
        <f t="shared" si="3"/>
        <v>2054</v>
      </c>
      <c r="AE3" s="20">
        <f t="shared" si="3"/>
        <v>2055</v>
      </c>
      <c r="AF3" s="20">
        <f t="shared" si="3"/>
        <v>2056</v>
      </c>
      <c r="AG3" s="20">
        <f t="shared" si="3"/>
        <v>2057</v>
      </c>
      <c r="AH3" s="20">
        <f t="shared" si="3"/>
        <v>2058</v>
      </c>
      <c r="AI3" s="20">
        <f t="shared" si="3"/>
        <v>2059</v>
      </c>
      <c r="AJ3" s="20">
        <f t="shared" si="3"/>
        <v>2060</v>
      </c>
    </row>
    <row r="4" spans="1:36" ht="24" customHeight="1" x14ac:dyDescent="0.2">
      <c r="A4" s="54" t="str">
        <f>Assumptions!$A$4</f>
        <v>Jason</v>
      </c>
      <c r="B4" s="17">
        <f>Assumptions!C6</f>
        <v>60</v>
      </c>
      <c r="C4" s="17">
        <f t="shared" ref="C4:R4" si="4">B4+1</f>
        <v>61</v>
      </c>
      <c r="D4" s="17">
        <f t="shared" si="4"/>
        <v>62</v>
      </c>
      <c r="E4" s="17">
        <f t="shared" si="4"/>
        <v>63</v>
      </c>
      <c r="F4" s="17">
        <f t="shared" si="4"/>
        <v>64</v>
      </c>
      <c r="G4" s="17">
        <f t="shared" si="4"/>
        <v>65</v>
      </c>
      <c r="H4" s="17">
        <f t="shared" si="4"/>
        <v>66</v>
      </c>
      <c r="I4" s="17">
        <f t="shared" si="4"/>
        <v>67</v>
      </c>
      <c r="J4" s="17">
        <f t="shared" si="4"/>
        <v>68</v>
      </c>
      <c r="K4" s="17">
        <f t="shared" si="4"/>
        <v>69</v>
      </c>
      <c r="L4" s="17">
        <f t="shared" si="4"/>
        <v>70</v>
      </c>
      <c r="M4" s="17">
        <f t="shared" si="4"/>
        <v>71</v>
      </c>
      <c r="N4" s="17">
        <f t="shared" si="4"/>
        <v>72</v>
      </c>
      <c r="O4" s="17">
        <f t="shared" si="4"/>
        <v>73</v>
      </c>
      <c r="P4" s="17">
        <f t="shared" si="4"/>
        <v>74</v>
      </c>
      <c r="Q4" s="17">
        <f t="shared" si="4"/>
        <v>75</v>
      </c>
      <c r="R4" s="17">
        <f t="shared" si="4"/>
        <v>76</v>
      </c>
      <c r="S4" s="17">
        <f t="shared" si="2"/>
        <v>77</v>
      </c>
      <c r="T4" s="17">
        <f t="shared" si="2"/>
        <v>78</v>
      </c>
      <c r="U4" s="17">
        <f t="shared" si="2"/>
        <v>79</v>
      </c>
      <c r="V4" s="17">
        <f t="shared" si="2"/>
        <v>80</v>
      </c>
      <c r="W4" s="17">
        <f t="shared" si="2"/>
        <v>81</v>
      </c>
      <c r="X4" s="17">
        <f t="shared" ref="X4:AJ4" si="5">W4+1</f>
        <v>82</v>
      </c>
      <c r="Y4" s="17">
        <f t="shared" si="5"/>
        <v>83</v>
      </c>
      <c r="Z4" s="17">
        <f t="shared" si="5"/>
        <v>84</v>
      </c>
      <c r="AA4" s="17">
        <f t="shared" si="5"/>
        <v>85</v>
      </c>
      <c r="AB4" s="17">
        <f t="shared" si="5"/>
        <v>86</v>
      </c>
      <c r="AC4" s="17">
        <f t="shared" si="5"/>
        <v>87</v>
      </c>
      <c r="AD4" s="17">
        <f t="shared" si="5"/>
        <v>88</v>
      </c>
      <c r="AE4" s="17">
        <f t="shared" si="5"/>
        <v>89</v>
      </c>
      <c r="AF4" s="17">
        <f t="shared" si="5"/>
        <v>90</v>
      </c>
      <c r="AG4" s="17">
        <f t="shared" si="5"/>
        <v>91</v>
      </c>
      <c r="AH4" s="17">
        <f t="shared" si="5"/>
        <v>92</v>
      </c>
      <c r="AI4" s="17">
        <f t="shared" si="5"/>
        <v>93</v>
      </c>
      <c r="AJ4" s="17">
        <f t="shared" si="5"/>
        <v>94</v>
      </c>
    </row>
    <row r="5" spans="1:36" ht="24" customHeight="1" x14ac:dyDescent="0.2">
      <c r="A5" s="54" t="str">
        <f>IF(Assumptions!B3="S","",Assumptions!$A$5)</f>
        <v>Charlene</v>
      </c>
      <c r="B5" s="16">
        <f>IF(Assumptions!$B$3="S","",Assumptions!$C$5+MAX(0,Projections!B3-Assumptions!$C$3))</f>
        <v>60</v>
      </c>
      <c r="C5" s="16">
        <f>IF(Assumptions!$B$3="S","",Assumptions!$C$5+MAX(0,Projections!C3-Assumptions!$C$3))</f>
        <v>61</v>
      </c>
      <c r="D5" s="16">
        <f>IF(Assumptions!$B$3="S","",Assumptions!$C$5+MAX(0,Projections!D3-Assumptions!$C$3))</f>
        <v>62</v>
      </c>
      <c r="E5" s="16">
        <f>IF(Assumptions!$B$3="S","",Assumptions!$C$5+MAX(0,Projections!E3-Assumptions!$C$3))</f>
        <v>63</v>
      </c>
      <c r="F5" s="16">
        <f>IF(Assumptions!$B$3="S","",Assumptions!$C$5+MAX(0,Projections!F3-Assumptions!$C$3))</f>
        <v>64</v>
      </c>
      <c r="G5" s="16">
        <f>IF(Assumptions!$B$3="S","",Assumptions!$C$5+MAX(0,Projections!G3-Assumptions!$C$3))</f>
        <v>65</v>
      </c>
      <c r="H5" s="16">
        <f>IF(Assumptions!$B$3="S","",Assumptions!$C$5+MAX(0,Projections!H3-Assumptions!$C$3))</f>
        <v>66</v>
      </c>
      <c r="I5" s="16">
        <f>IF(Assumptions!$B$3="S","",Assumptions!$C$5+MAX(0,Projections!I3-Assumptions!$C$3))</f>
        <v>67</v>
      </c>
      <c r="J5" s="16">
        <f>IF(Assumptions!$B$3="S","",Assumptions!$C$5+MAX(0,Projections!J3-Assumptions!$C$3))</f>
        <v>68</v>
      </c>
      <c r="K5" s="16">
        <f>IF(Assumptions!$B$3="S","",Assumptions!$C$5+MAX(0,Projections!K3-Assumptions!$C$3))</f>
        <v>69</v>
      </c>
      <c r="L5" s="16">
        <f>IF(Assumptions!$B$3="S","",Assumptions!$C$5+MAX(0,Projections!L3-Assumptions!$C$3))</f>
        <v>70</v>
      </c>
      <c r="M5" s="16">
        <f>IF(Assumptions!$B$3="S","",Assumptions!$C$5+MAX(0,Projections!M3-Assumptions!$C$3))</f>
        <v>71</v>
      </c>
      <c r="N5" s="16">
        <f>IF(Assumptions!$B$3="S","",Assumptions!$C$5+MAX(0,Projections!N3-Assumptions!$C$3))</f>
        <v>72</v>
      </c>
      <c r="O5" s="16">
        <f>IF(Assumptions!$B$3="S","",Assumptions!$C$5+MAX(0,Projections!O3-Assumptions!$C$3))</f>
        <v>73</v>
      </c>
      <c r="P5" s="16">
        <f>IF(Assumptions!$B$3="S","",Assumptions!$C$5+MAX(0,Projections!P3-Assumptions!$C$3))</f>
        <v>74</v>
      </c>
      <c r="Q5" s="16">
        <f>IF(Assumptions!$B$3="S","",Assumptions!$C$5+MAX(0,Projections!Q3-Assumptions!$C$3))</f>
        <v>75</v>
      </c>
      <c r="R5" s="16">
        <f>IF(Assumptions!$B$3="S","",Assumptions!$C$5+MAX(0,Projections!R3-Assumptions!$C$3))</f>
        <v>76</v>
      </c>
      <c r="S5" s="16">
        <f>IF(Assumptions!$B$3="S","",Assumptions!$C$5+MAX(0,Projections!S3-Assumptions!$C$3))</f>
        <v>77</v>
      </c>
      <c r="T5" s="16">
        <f>IF(Assumptions!$B$3="S","",Assumptions!$C$5+MAX(0,Projections!T3-Assumptions!$C$3))</f>
        <v>78</v>
      </c>
      <c r="U5" s="16">
        <f>IF(Assumptions!$B$3="S","",Assumptions!$C$5+MAX(0,Projections!U3-Assumptions!$C$3))</f>
        <v>79</v>
      </c>
      <c r="V5" s="16">
        <f>IF(Assumptions!$B$3="S","",Assumptions!$C$5+MAX(0,Projections!V3-Assumptions!$C$3))</f>
        <v>80</v>
      </c>
      <c r="W5" s="16">
        <f>IF(Assumptions!$B$3="S","",Assumptions!$C$5+MAX(0,Projections!W3-Assumptions!$C$3))</f>
        <v>81</v>
      </c>
      <c r="X5" s="16">
        <f>IF(Assumptions!$B$3="S","",Assumptions!$C$5+MAX(0,Projections!X3-Assumptions!$C$3))</f>
        <v>82</v>
      </c>
      <c r="Y5" s="16">
        <f>IF(Assumptions!$B$3="S","",Assumptions!$C$5+MAX(0,Projections!Y3-Assumptions!$C$3))</f>
        <v>83</v>
      </c>
      <c r="Z5" s="16">
        <f>IF(Assumptions!$B$3="S","",Assumptions!$C$5+MAX(0,Projections!Z3-Assumptions!$C$3))</f>
        <v>84</v>
      </c>
      <c r="AA5" s="16">
        <f>IF(Assumptions!$B$3="S","",Assumptions!$C$5+MAX(0,Projections!AA3-Assumptions!$C$3))</f>
        <v>85</v>
      </c>
      <c r="AB5" s="16">
        <f>IF(Assumptions!$B$3="S","",Assumptions!$C$5+MAX(0,Projections!AB3-Assumptions!$C$3))</f>
        <v>86</v>
      </c>
      <c r="AC5" s="16">
        <f>IF(Assumptions!$B$3="S","",Assumptions!$C$5+MAX(0,Projections!AC3-Assumptions!$C$3))</f>
        <v>87</v>
      </c>
      <c r="AD5" s="16">
        <f>IF(Assumptions!$B$3="S","",Assumptions!$C$5+MAX(0,Projections!AD3-Assumptions!$C$3))</f>
        <v>88</v>
      </c>
      <c r="AE5" s="16">
        <f>IF(Assumptions!$B$3="S","",Assumptions!$C$5+MAX(0,Projections!AE3-Assumptions!$C$3))</f>
        <v>89</v>
      </c>
      <c r="AF5" s="16">
        <f>IF(Assumptions!$B$3="S","",Assumptions!$C$5+MAX(0,Projections!AF3-Assumptions!$C$3))</f>
        <v>90</v>
      </c>
      <c r="AG5" s="16">
        <f>IF(Assumptions!$B$3="S","",Assumptions!$C$5+MAX(0,Projections!AG3-Assumptions!$C$3))</f>
        <v>91</v>
      </c>
      <c r="AH5" s="16">
        <f>IF(Assumptions!$B$3="S","",Assumptions!$C$5+MAX(0,Projections!AH3-Assumptions!$C$3))</f>
        <v>92</v>
      </c>
      <c r="AI5" s="16">
        <f>IF(Assumptions!$B$3="S","",Assumptions!$C$5+MAX(0,Projections!AI3-Assumptions!$C$3))</f>
        <v>93</v>
      </c>
      <c r="AJ5" s="16">
        <f>IF(Assumptions!$B$3="S","",Assumptions!$C$5+MAX(0,Projections!AJ3-Assumptions!$C$3))</f>
        <v>94</v>
      </c>
    </row>
    <row r="6" spans="1:36" ht="24" customHeight="1" x14ac:dyDescent="0.2">
      <c r="A6" s="1"/>
      <c r="B6" s="16"/>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row>
    <row r="7" spans="1:36" ht="24" customHeight="1" x14ac:dyDescent="0.2">
      <c r="A7" s="21" t="s">
        <v>31</v>
      </c>
      <c r="B7" s="26">
        <f>CHOOSE(MATCH(Assumptions!$D$9,Tables!$L$43:$L$45,0),Tables!$M$43,Tables!$M$43+(Tables!$M$44*Projections!B$1*(B$1&lt;=Tables!$O$44)),VLOOKUP(Tables!$M$45+Projections!B$1-1,Tables!$A$70:$G$182,2))</f>
        <v>2.5000000000000001E-2</v>
      </c>
      <c r="C7" s="26">
        <f>CHOOSE(MATCH(Assumptions!$D$9,Tables!$L$43:$L$45,0),Tables!$M$43,Tables!$M$43+(Tables!$M$44*Projections!C$1*(C$1&lt;=Tables!$O$44)),VLOOKUP(Tables!$M$45+Projections!C$1-1,Tables!$A$70:$G$182,2))</f>
        <v>2.5000000000000001E-2</v>
      </c>
      <c r="D7" s="26">
        <f>CHOOSE(MATCH(Assumptions!$D$9,Tables!$L$43:$L$45,0),Tables!$M$43,Tables!$M$43+(Tables!$M$44*Projections!D$1*(D$1&lt;=Tables!$O$44)),VLOOKUP(Tables!$M$45+Projections!D$1-1,Tables!$A$70:$G$182,2))</f>
        <v>2.5000000000000001E-2</v>
      </c>
      <c r="E7" s="26">
        <f>CHOOSE(MATCH(Assumptions!$D$9,Tables!$L$43:$L$45,0),Tables!$M$43,Tables!$M$43+(Tables!$M$44*Projections!E$1*(E$1&lt;=Tables!$O$44)),VLOOKUP(Tables!$M$45+Projections!E$1-1,Tables!$A$70:$G$182,2))</f>
        <v>2.5000000000000001E-2</v>
      </c>
      <c r="F7" s="26">
        <f>CHOOSE(MATCH(Assumptions!$D$9,Tables!$L$43:$L$45,0),Tables!$M$43,Tables!$M$43+(Tables!$M$44*Projections!F$1*(F$1&lt;=Tables!$O$44)),VLOOKUP(Tables!$M$45+Projections!F$1-1,Tables!$A$70:$G$182,2))</f>
        <v>2.5000000000000001E-2</v>
      </c>
      <c r="G7" s="26">
        <f>CHOOSE(MATCH(Assumptions!$D$9,Tables!$L$43:$L$45,0),Tables!$M$43,Tables!$M$43+(Tables!$M$44*Projections!G$1*(G$1&lt;=Tables!$O$44)),VLOOKUP(Tables!$M$45+Projections!G$1-1,Tables!$A$70:$G$182,2))</f>
        <v>2.5000000000000001E-2</v>
      </c>
      <c r="H7" s="26">
        <f>CHOOSE(MATCH(Assumptions!$D$9,Tables!$L$43:$L$45,0),Tables!$M$43,Tables!$M$43+(Tables!$M$44*Projections!H$1*(H$1&lt;=Tables!$O$44)),VLOOKUP(Tables!$M$45+Projections!H$1-1,Tables!$A$70:$G$182,2))</f>
        <v>2.5000000000000001E-2</v>
      </c>
      <c r="I7" s="26">
        <f>CHOOSE(MATCH(Assumptions!$D$9,Tables!$L$43:$L$45,0),Tables!$M$43,Tables!$M$43+(Tables!$M$44*Projections!I$1*(I$1&lt;=Tables!$O$44)),VLOOKUP(Tables!$M$45+Projections!I$1-1,Tables!$A$70:$G$182,2))</f>
        <v>2.5000000000000001E-2</v>
      </c>
      <c r="J7" s="26">
        <f>CHOOSE(MATCH(Assumptions!$D$9,Tables!$L$43:$L$45,0),Tables!$M$43,Tables!$M$43+(Tables!$M$44*Projections!J$1*(J$1&lt;=Tables!$O$44)),VLOOKUP(Tables!$M$45+Projections!J$1-1,Tables!$A$70:$G$182,2))</f>
        <v>2.5000000000000001E-2</v>
      </c>
      <c r="K7" s="26">
        <f>CHOOSE(MATCH(Assumptions!$D$9,Tables!$L$43:$L$45,0),Tables!$M$43,Tables!$M$43+(Tables!$M$44*Projections!K$1*(K$1&lt;=Tables!$O$44)),VLOOKUP(Tables!$M$45+Projections!K$1-1,Tables!$A$70:$G$182,2))</f>
        <v>2.5000000000000001E-2</v>
      </c>
      <c r="L7" s="26">
        <f>CHOOSE(MATCH(Assumptions!$D$9,Tables!$L$43:$L$45,0),Tables!$M$43,Tables!$M$43+(Tables!$M$44*Projections!L$1*(L$1&lt;=Tables!$O$44)),VLOOKUP(Tables!$M$45+Projections!L$1-1,Tables!$A$70:$G$182,2))</f>
        <v>2.5000000000000001E-2</v>
      </c>
      <c r="M7" s="26">
        <f>CHOOSE(MATCH(Assumptions!$D$9,Tables!$L$43:$L$45,0),Tables!$M$43,Tables!$M$43+(Tables!$M$44*Projections!M$1*(M$1&lt;=Tables!$O$44)),VLOOKUP(Tables!$M$45+Projections!M$1-1,Tables!$A$70:$G$182,2))</f>
        <v>2.5000000000000001E-2</v>
      </c>
      <c r="N7" s="26">
        <f>CHOOSE(MATCH(Assumptions!$D$9,Tables!$L$43:$L$45,0),Tables!$M$43,Tables!$M$43+(Tables!$M$44*Projections!N$1*(N$1&lt;=Tables!$O$44)),VLOOKUP(Tables!$M$45+Projections!N$1-1,Tables!$A$70:$G$182,2))</f>
        <v>2.5000000000000001E-2</v>
      </c>
      <c r="O7" s="26">
        <f>CHOOSE(MATCH(Assumptions!$D$9,Tables!$L$43:$L$45,0),Tables!$M$43,Tables!$M$43+(Tables!$M$44*Projections!O$1*(O$1&lt;=Tables!$O$44)),VLOOKUP(Tables!$M$45+Projections!O$1-1,Tables!$A$70:$G$182,2))</f>
        <v>2.5000000000000001E-2</v>
      </c>
      <c r="P7" s="26">
        <f>CHOOSE(MATCH(Assumptions!$D$9,Tables!$L$43:$L$45,0),Tables!$M$43,Tables!$M$43+(Tables!$M$44*Projections!P$1*(P$1&lt;=Tables!$O$44)),VLOOKUP(Tables!$M$45+Projections!P$1-1,Tables!$A$70:$G$182,2))</f>
        <v>2.5000000000000001E-2</v>
      </c>
      <c r="Q7" s="26">
        <f>CHOOSE(MATCH(Assumptions!$D$9,Tables!$L$43:$L$45,0),Tables!$M$43,Tables!$M$43+(Tables!$M$44*Projections!Q$1*(Q$1&lt;=Tables!$O$44)),VLOOKUP(Tables!$M$45+Projections!Q$1-1,Tables!$A$70:$G$182,2))</f>
        <v>2.5000000000000001E-2</v>
      </c>
      <c r="R7" s="26">
        <f>CHOOSE(MATCH(Assumptions!$D$9,Tables!$L$43:$L$45,0),Tables!$M$43,Tables!$M$43+(Tables!$M$44*Projections!R$1*(R$1&lt;=Tables!$O$44)),VLOOKUP(Tables!$M$45+Projections!R$1-1,Tables!$A$70:$G$182,2))</f>
        <v>2.5000000000000001E-2</v>
      </c>
      <c r="S7" s="26">
        <f>CHOOSE(MATCH(Assumptions!$D$9,Tables!$L$43:$L$45,0),Tables!$M$43,Tables!$M$43+(Tables!$M$44*Projections!S$1*(S$1&lt;=Tables!$O$44)),VLOOKUP(Tables!$M$45+Projections!S$1-1,Tables!$A$70:$G$182,2))</f>
        <v>2.5000000000000001E-2</v>
      </c>
      <c r="T7" s="26">
        <f>CHOOSE(MATCH(Assumptions!$D$9,Tables!$L$43:$L$45,0),Tables!$M$43,Tables!$M$43+(Tables!$M$44*Projections!T$1*(T$1&lt;=Tables!$O$44)),VLOOKUP(Tables!$M$45+Projections!T$1-1,Tables!$A$70:$G$182,2))</f>
        <v>2.5000000000000001E-2</v>
      </c>
      <c r="U7" s="26">
        <f>CHOOSE(MATCH(Assumptions!$D$9,Tables!$L$43:$L$45,0),Tables!$M$43,Tables!$M$43+(Tables!$M$44*Projections!U$1*(U$1&lt;=Tables!$O$44)),VLOOKUP(Tables!$M$45+Projections!U$1-1,Tables!$A$70:$G$182,2))</f>
        <v>2.5000000000000001E-2</v>
      </c>
      <c r="V7" s="26">
        <f>CHOOSE(MATCH(Assumptions!$D$9,Tables!$L$43:$L$45,0),Tables!$M$43,Tables!$M$43+(Tables!$M$44*Projections!V$1*(V$1&lt;=Tables!$O$44)),VLOOKUP(Tables!$M$45+Projections!V$1-1,Tables!$A$70:$G$182,2))</f>
        <v>2.5000000000000001E-2</v>
      </c>
      <c r="W7" s="26">
        <f>CHOOSE(MATCH(Assumptions!$D$9,Tables!$L$43:$L$45,0),Tables!$M$43,Tables!$M$43+(Tables!$M$44*Projections!W$1*(W$1&lt;=Tables!$O$44)),VLOOKUP(Tables!$M$45+Projections!W$1-1,Tables!$A$70:$G$182,2))</f>
        <v>2.5000000000000001E-2</v>
      </c>
      <c r="X7" s="26">
        <f>CHOOSE(MATCH(Assumptions!$D$9,Tables!$L$43:$L$45,0),Tables!$M$43,Tables!$M$43+(Tables!$M$44*Projections!X$1*(X$1&lt;=Tables!$O$44)),VLOOKUP(Tables!$M$45+Projections!X$1-1,Tables!$A$70:$G$182,2))</f>
        <v>2.5000000000000001E-2</v>
      </c>
      <c r="Y7" s="26">
        <f>CHOOSE(MATCH(Assumptions!$D$9,Tables!$L$43:$L$45,0),Tables!$M$43,Tables!$M$43+(Tables!$M$44*Projections!Y$1*(Y$1&lt;=Tables!$O$44)),VLOOKUP(Tables!$M$45+Projections!Y$1-1,Tables!$A$70:$G$182,2))</f>
        <v>2.5000000000000001E-2</v>
      </c>
      <c r="Z7" s="26">
        <f>CHOOSE(MATCH(Assumptions!$D$9,Tables!$L$43:$L$45,0),Tables!$M$43,Tables!$M$43+(Tables!$M$44*Projections!Z$1*(Z$1&lt;=Tables!$O$44)),VLOOKUP(Tables!$M$45+Projections!Z$1-1,Tables!$A$70:$G$182,2))</f>
        <v>2.5000000000000001E-2</v>
      </c>
      <c r="AA7" s="26">
        <f>CHOOSE(MATCH(Assumptions!$D$9,Tables!$L$43:$L$45,0),Tables!$M$43,Tables!$M$43+(Tables!$M$44*Projections!AA$1*(AA$1&lt;=Tables!$O$44)),VLOOKUP(Tables!$M$45+Projections!AA$1-1,Tables!$A$70:$G$182,2))</f>
        <v>2.5000000000000001E-2</v>
      </c>
      <c r="AB7" s="26">
        <f>CHOOSE(MATCH(Assumptions!$D$9,Tables!$L$43:$L$45,0),Tables!$M$43,Tables!$M$43+(Tables!$M$44*Projections!AB$1*(AB$1&lt;=Tables!$O$44)),VLOOKUP(Tables!$M$45+Projections!AB$1-1,Tables!$A$70:$G$182,2))</f>
        <v>2.5000000000000001E-2</v>
      </c>
      <c r="AC7" s="26">
        <f>CHOOSE(MATCH(Assumptions!$D$9,Tables!$L$43:$L$45,0),Tables!$M$43,Tables!$M$43+(Tables!$M$44*Projections!AC$1*(AC$1&lt;=Tables!$O$44)),VLOOKUP(Tables!$M$45+Projections!AC$1-1,Tables!$A$70:$G$182,2))</f>
        <v>2.5000000000000001E-2</v>
      </c>
      <c r="AD7" s="26">
        <f>CHOOSE(MATCH(Assumptions!$D$9,Tables!$L$43:$L$45,0),Tables!$M$43,Tables!$M$43+(Tables!$M$44*Projections!AD$1*(AD$1&lt;=Tables!$O$44)),VLOOKUP(Tables!$M$45+Projections!AD$1-1,Tables!$A$70:$G$182,2))</f>
        <v>2.5000000000000001E-2</v>
      </c>
      <c r="AE7" s="26">
        <f>CHOOSE(MATCH(Assumptions!$D$9,Tables!$L$43:$L$45,0),Tables!$M$43,Tables!$M$43+(Tables!$M$44*Projections!AE$1*(AE$1&lt;=Tables!$O$44)),VLOOKUP(Tables!$M$45+Projections!AE$1-1,Tables!$A$70:$G$182,2))</f>
        <v>2.5000000000000001E-2</v>
      </c>
      <c r="AF7" s="26">
        <f>CHOOSE(MATCH(Assumptions!$D$9,Tables!$L$43:$L$45,0),Tables!$M$43,Tables!$M$43+(Tables!$M$44*Projections!AF$1*(AF$1&lt;=Tables!$O$44)),VLOOKUP(Tables!$M$45+Projections!AF$1-1,Tables!$A$70:$G$182,2))</f>
        <v>2.5000000000000001E-2</v>
      </c>
      <c r="AG7" s="26">
        <f>CHOOSE(MATCH(Assumptions!$D$9,Tables!$L$43:$L$45,0),Tables!$M$43,Tables!$M$43+(Tables!$M$44*Projections!AG$1*(AG$1&lt;=Tables!$O$44)),VLOOKUP(Tables!$M$45+Projections!AG$1-1,Tables!$A$70:$G$182,2))</f>
        <v>2.5000000000000001E-2</v>
      </c>
      <c r="AH7" s="26">
        <f>CHOOSE(MATCH(Assumptions!$D$9,Tables!$L$43:$L$45,0),Tables!$M$43,Tables!$M$43+(Tables!$M$44*Projections!AH$1*(AH$1&lt;=Tables!$O$44)),VLOOKUP(Tables!$M$45+Projections!AH$1-1,Tables!$A$70:$G$182,2))</f>
        <v>2.5000000000000001E-2</v>
      </c>
      <c r="AI7" s="26">
        <f>CHOOSE(MATCH(Assumptions!$D$9,Tables!$L$43:$L$45,0),Tables!$M$43,Tables!$M$43+(Tables!$M$44*Projections!AI$1*(AI$1&lt;=Tables!$O$44)),VLOOKUP(Tables!$M$45+Projections!AI$1-1,Tables!$A$70:$G$182,2))</f>
        <v>2.5000000000000001E-2</v>
      </c>
      <c r="AJ7" s="26">
        <f>CHOOSE(MATCH(Assumptions!$D$9,Tables!$L$43:$L$45,0),Tables!$M$43,Tables!$M$43+(Tables!$M$44*Projections!AJ$1*(AJ$1&lt;=Tables!$O$44)),VLOOKUP(Tables!$M$45+Projections!AJ$1-1,Tables!$A$70:$G$182,2))</f>
        <v>2.5000000000000001E-2</v>
      </c>
    </row>
    <row r="8" spans="1:36" ht="24" customHeight="1" x14ac:dyDescent="0.2">
      <c r="A8" s="7" t="s">
        <v>32</v>
      </c>
      <c r="B8" s="26">
        <f>CHOOSE(MATCH(Assumptions!$D$10,Tables!$L$48:$L$49,0),Tables!$M$48,MAX(0,Projections!B$7-Tables!$M$49))</f>
        <v>2.2500000000000003E-2</v>
      </c>
      <c r="C8" s="26">
        <f>CHOOSE(MATCH(Assumptions!$D$10,Tables!$L$48:$L$49,0),Tables!$M$48,MAX(0,Projections!C$7-Tables!$M$49))</f>
        <v>2.2500000000000003E-2</v>
      </c>
      <c r="D8" s="26">
        <f>CHOOSE(MATCH(Assumptions!$D$10,Tables!$L$48:$L$49,0),Tables!$M$48,MAX(0,Projections!D$7-Tables!$M$49))</f>
        <v>2.2500000000000003E-2</v>
      </c>
      <c r="E8" s="26">
        <f>CHOOSE(MATCH(Assumptions!$D$10,Tables!$L$48:$L$49,0),Tables!$M$48,MAX(0,Projections!E$7-Tables!$M$49))</f>
        <v>2.2500000000000003E-2</v>
      </c>
      <c r="F8" s="26">
        <f>CHOOSE(MATCH(Assumptions!$D$10,Tables!$L$48:$L$49,0),Tables!$M$48,MAX(0,Projections!F$7-Tables!$M$49))</f>
        <v>2.2500000000000003E-2</v>
      </c>
      <c r="G8" s="26">
        <f>CHOOSE(MATCH(Assumptions!$D$10,Tables!$L$48:$L$49,0),Tables!$M$48,MAX(0,Projections!G$7-Tables!$M$49))</f>
        <v>2.2500000000000003E-2</v>
      </c>
      <c r="H8" s="26">
        <f>CHOOSE(MATCH(Assumptions!$D$10,Tables!$L$48:$L$49,0),Tables!$M$48,MAX(0,Projections!H$7-Tables!$M$49))</f>
        <v>2.2500000000000003E-2</v>
      </c>
      <c r="I8" s="26">
        <f>CHOOSE(MATCH(Assumptions!$D$10,Tables!$L$48:$L$49,0),Tables!$M$48,MAX(0,Projections!I$7-Tables!$M$49))</f>
        <v>2.2500000000000003E-2</v>
      </c>
      <c r="J8" s="26">
        <f>CHOOSE(MATCH(Assumptions!$D$10,Tables!$L$48:$L$49,0),Tables!$M$48,MAX(0,Projections!J$7-Tables!$M$49))</f>
        <v>2.2500000000000003E-2</v>
      </c>
      <c r="K8" s="26">
        <f>CHOOSE(MATCH(Assumptions!$D$10,Tables!$L$48:$L$49,0),Tables!$M$48,MAX(0,Projections!K$7-Tables!$M$49))</f>
        <v>2.2500000000000003E-2</v>
      </c>
      <c r="L8" s="26">
        <f>CHOOSE(MATCH(Assumptions!$D$10,Tables!$L$48:$L$49,0),Tables!$M$48,MAX(0,Projections!L$7-Tables!$M$49))</f>
        <v>2.2500000000000003E-2</v>
      </c>
      <c r="M8" s="26">
        <f>CHOOSE(MATCH(Assumptions!$D$10,Tables!$L$48:$L$49,0),Tables!$M$48,MAX(0,Projections!M$7-Tables!$M$49))</f>
        <v>2.2500000000000003E-2</v>
      </c>
      <c r="N8" s="26">
        <f>CHOOSE(MATCH(Assumptions!$D$10,Tables!$L$48:$L$49,0),Tables!$M$48,MAX(0,Projections!N$7-Tables!$M$49))</f>
        <v>2.2500000000000003E-2</v>
      </c>
      <c r="O8" s="26">
        <f>CHOOSE(MATCH(Assumptions!$D$10,Tables!$L$48:$L$49,0),Tables!$M$48,MAX(0,Projections!O$7-Tables!$M$49))</f>
        <v>2.2500000000000003E-2</v>
      </c>
      <c r="P8" s="26">
        <f>CHOOSE(MATCH(Assumptions!$D$10,Tables!$L$48:$L$49,0),Tables!$M$48,MAX(0,Projections!P$7-Tables!$M$49))</f>
        <v>2.2500000000000003E-2</v>
      </c>
      <c r="Q8" s="26">
        <f>CHOOSE(MATCH(Assumptions!$D$10,Tables!$L$48:$L$49,0),Tables!$M$48,MAX(0,Projections!Q$7-Tables!$M$49))</f>
        <v>2.2500000000000003E-2</v>
      </c>
      <c r="R8" s="26">
        <f>CHOOSE(MATCH(Assumptions!$D$10,Tables!$L$48:$L$49,0),Tables!$M$48,MAX(0,Projections!R$7-Tables!$M$49))</f>
        <v>2.2500000000000003E-2</v>
      </c>
      <c r="S8" s="26">
        <f>CHOOSE(MATCH(Assumptions!$D$10,Tables!$L$48:$L$49,0),Tables!$M$48,MAX(0,Projections!S$7-Tables!$M$49))</f>
        <v>2.2500000000000003E-2</v>
      </c>
      <c r="T8" s="26">
        <f>CHOOSE(MATCH(Assumptions!$D$10,Tables!$L$48:$L$49,0),Tables!$M$48,MAX(0,Projections!T$7-Tables!$M$49))</f>
        <v>2.2500000000000003E-2</v>
      </c>
      <c r="U8" s="26">
        <f>CHOOSE(MATCH(Assumptions!$D$10,Tables!$L$48:$L$49,0),Tables!$M$48,MAX(0,Projections!U$7-Tables!$M$49))</f>
        <v>2.2500000000000003E-2</v>
      </c>
      <c r="V8" s="26">
        <f>CHOOSE(MATCH(Assumptions!$D$10,Tables!$L$48:$L$49,0),Tables!$M$48,MAX(0,Projections!V$7-Tables!$M$49))</f>
        <v>2.2500000000000003E-2</v>
      </c>
      <c r="W8" s="26">
        <f>CHOOSE(MATCH(Assumptions!$D$10,Tables!$L$48:$L$49,0),Tables!$M$48,MAX(0,Projections!W$7-Tables!$M$49))</f>
        <v>2.2500000000000003E-2</v>
      </c>
      <c r="X8" s="26">
        <f>CHOOSE(MATCH(Assumptions!$D$10,Tables!$L$48:$L$49,0),Tables!$M$48,MAX(0,Projections!X$7-Tables!$M$49))</f>
        <v>2.2500000000000003E-2</v>
      </c>
      <c r="Y8" s="26">
        <f>CHOOSE(MATCH(Assumptions!$D$10,Tables!$L$48:$L$49,0),Tables!$M$48,MAX(0,Projections!Y$7-Tables!$M$49))</f>
        <v>2.2500000000000003E-2</v>
      </c>
      <c r="Z8" s="26">
        <f>CHOOSE(MATCH(Assumptions!$D$10,Tables!$L$48:$L$49,0),Tables!$M$48,MAX(0,Projections!Z$7-Tables!$M$49))</f>
        <v>2.2500000000000003E-2</v>
      </c>
      <c r="AA8" s="26">
        <f>CHOOSE(MATCH(Assumptions!$D$10,Tables!$L$48:$L$49,0),Tables!$M$48,MAX(0,Projections!AA$7-Tables!$M$49))</f>
        <v>2.2500000000000003E-2</v>
      </c>
      <c r="AB8" s="26">
        <f>CHOOSE(MATCH(Assumptions!$D$10,Tables!$L$48:$L$49,0),Tables!$M$48,MAX(0,Projections!AB$7-Tables!$M$49))</f>
        <v>2.2500000000000003E-2</v>
      </c>
      <c r="AC8" s="26">
        <f>CHOOSE(MATCH(Assumptions!$D$10,Tables!$L$48:$L$49,0),Tables!$M$48,MAX(0,Projections!AC$7-Tables!$M$49))</f>
        <v>2.2500000000000003E-2</v>
      </c>
      <c r="AD8" s="26">
        <f>CHOOSE(MATCH(Assumptions!$D$10,Tables!$L$48:$L$49,0),Tables!$M$48,MAX(0,Projections!AD$7-Tables!$M$49))</f>
        <v>2.2500000000000003E-2</v>
      </c>
      <c r="AE8" s="26">
        <f>CHOOSE(MATCH(Assumptions!$D$10,Tables!$L$48:$L$49,0),Tables!$M$48,MAX(0,Projections!AE$7-Tables!$M$49))</f>
        <v>2.2500000000000003E-2</v>
      </c>
      <c r="AF8" s="26">
        <f>CHOOSE(MATCH(Assumptions!$D$10,Tables!$L$48:$L$49,0),Tables!$M$48,MAX(0,Projections!AF$7-Tables!$M$49))</f>
        <v>2.2500000000000003E-2</v>
      </c>
      <c r="AG8" s="26">
        <f>CHOOSE(MATCH(Assumptions!$D$10,Tables!$L$48:$L$49,0),Tables!$M$48,MAX(0,Projections!AG$7-Tables!$M$49))</f>
        <v>2.2500000000000003E-2</v>
      </c>
      <c r="AH8" s="26">
        <f>CHOOSE(MATCH(Assumptions!$D$10,Tables!$L$48:$L$49,0),Tables!$M$48,MAX(0,Projections!AH$7-Tables!$M$49))</f>
        <v>2.2500000000000003E-2</v>
      </c>
      <c r="AI8" s="26">
        <f>CHOOSE(MATCH(Assumptions!$D$10,Tables!$L$48:$L$49,0),Tables!$M$48,MAX(0,Projections!AI$7-Tables!$M$49))</f>
        <v>2.2500000000000003E-2</v>
      </c>
      <c r="AJ8" s="26">
        <f>CHOOSE(MATCH(Assumptions!$D$10,Tables!$L$48:$L$49,0),Tables!$M$48,MAX(0,Projections!AJ$7-Tables!$M$49))</f>
        <v>2.2500000000000003E-2</v>
      </c>
    </row>
    <row r="9" spans="1:36" ht="24" customHeight="1" x14ac:dyDescent="0.2">
      <c r="A9" s="7" t="s">
        <v>49</v>
      </c>
      <c r="B9" s="26">
        <f>CHOOSE(MATCH(Assumptions!$D$11,Tables!$L$56:$L$57,0),Tables!$M$56,Projections!B$7+Tables!$M$57)</f>
        <v>4.4999999999999998E-2</v>
      </c>
      <c r="C9" s="26">
        <f>CHOOSE(MATCH(Assumptions!$D$11,Tables!$L$56:$L$57,0),Tables!$M$56,Projections!C$7+Tables!$M$57)</f>
        <v>4.4999999999999998E-2</v>
      </c>
      <c r="D9" s="26">
        <f>CHOOSE(MATCH(Assumptions!$D$11,Tables!$L$56:$L$57,0),Tables!$M$56,Projections!D$7+Tables!$M$57)</f>
        <v>4.4999999999999998E-2</v>
      </c>
      <c r="E9" s="26">
        <f>CHOOSE(MATCH(Assumptions!$D$11,Tables!$L$56:$L$57,0),Tables!$M$56,Projections!E$7+Tables!$M$57)</f>
        <v>4.4999999999999998E-2</v>
      </c>
      <c r="F9" s="26">
        <f>CHOOSE(MATCH(Assumptions!$D$11,Tables!$L$56:$L$57,0),Tables!$M$56,Projections!F$7+Tables!$M$57)</f>
        <v>4.4999999999999998E-2</v>
      </c>
      <c r="G9" s="26">
        <f>CHOOSE(MATCH(Assumptions!$D$11,Tables!$L$56:$L$57,0),Tables!$M$56,Projections!G$7+Tables!$M$57)</f>
        <v>4.4999999999999998E-2</v>
      </c>
      <c r="H9" s="26">
        <f>CHOOSE(MATCH(Assumptions!$D$11,Tables!$L$56:$L$57,0),Tables!$M$56,Projections!H$7+Tables!$M$57)</f>
        <v>4.4999999999999998E-2</v>
      </c>
      <c r="I9" s="26">
        <f>CHOOSE(MATCH(Assumptions!$D$11,Tables!$L$56:$L$57,0),Tables!$M$56,Projections!I$7+Tables!$M$57)</f>
        <v>4.4999999999999998E-2</v>
      </c>
      <c r="J9" s="26">
        <f>CHOOSE(MATCH(Assumptions!$D$11,Tables!$L$56:$L$57,0),Tables!$M$56,Projections!J$7+Tables!$M$57)</f>
        <v>4.4999999999999998E-2</v>
      </c>
      <c r="K9" s="26">
        <f>CHOOSE(MATCH(Assumptions!$D$11,Tables!$L$56:$L$57,0),Tables!$M$56,Projections!K$7+Tables!$M$57)</f>
        <v>4.4999999999999998E-2</v>
      </c>
      <c r="L9" s="26">
        <f>CHOOSE(MATCH(Assumptions!$D$11,Tables!$L$56:$L$57,0),Tables!$M$56,Projections!L$7+Tables!$M$57)</f>
        <v>4.4999999999999998E-2</v>
      </c>
      <c r="M9" s="26">
        <f>CHOOSE(MATCH(Assumptions!$D$11,Tables!$L$56:$L$57,0),Tables!$M$56,Projections!M$7+Tables!$M$57)</f>
        <v>4.4999999999999998E-2</v>
      </c>
      <c r="N9" s="26">
        <f>CHOOSE(MATCH(Assumptions!$D$11,Tables!$L$56:$L$57,0),Tables!$M$56,Projections!N$7+Tables!$M$57)</f>
        <v>4.4999999999999998E-2</v>
      </c>
      <c r="O9" s="26">
        <f>CHOOSE(MATCH(Assumptions!$D$11,Tables!$L$56:$L$57,0),Tables!$M$56,Projections!O$7+Tables!$M$57)</f>
        <v>4.4999999999999998E-2</v>
      </c>
      <c r="P9" s="26">
        <f>CHOOSE(MATCH(Assumptions!$D$11,Tables!$L$56:$L$57,0),Tables!$M$56,Projections!P$7+Tables!$M$57)</f>
        <v>4.4999999999999998E-2</v>
      </c>
      <c r="Q9" s="26">
        <f>CHOOSE(MATCH(Assumptions!$D$11,Tables!$L$56:$L$57,0),Tables!$M$56,Projections!Q$7+Tables!$M$57)</f>
        <v>4.4999999999999998E-2</v>
      </c>
      <c r="R9" s="26">
        <f>CHOOSE(MATCH(Assumptions!$D$11,Tables!$L$56:$L$57,0),Tables!$M$56,Projections!R$7+Tables!$M$57)</f>
        <v>4.4999999999999998E-2</v>
      </c>
      <c r="S9" s="26">
        <f>CHOOSE(MATCH(Assumptions!$D$11,Tables!$L$56:$L$57,0),Tables!$M$56,Projections!S$7+Tables!$M$57)</f>
        <v>4.4999999999999998E-2</v>
      </c>
      <c r="T9" s="26">
        <f>CHOOSE(MATCH(Assumptions!$D$11,Tables!$L$56:$L$57,0),Tables!$M$56,Projections!T$7+Tables!$M$57)</f>
        <v>4.4999999999999998E-2</v>
      </c>
      <c r="U9" s="26">
        <f>CHOOSE(MATCH(Assumptions!$D$11,Tables!$L$56:$L$57,0),Tables!$M$56,Projections!U$7+Tables!$M$57)</f>
        <v>4.4999999999999998E-2</v>
      </c>
      <c r="V9" s="26">
        <f>CHOOSE(MATCH(Assumptions!$D$11,Tables!$L$56:$L$57,0),Tables!$M$56,Projections!V$7+Tables!$M$57)</f>
        <v>4.4999999999999998E-2</v>
      </c>
      <c r="W9" s="26">
        <f>CHOOSE(MATCH(Assumptions!$D$11,Tables!$L$56:$L$57,0),Tables!$M$56,Projections!W$7+Tables!$M$57)</f>
        <v>4.4999999999999998E-2</v>
      </c>
      <c r="X9" s="26">
        <f>CHOOSE(MATCH(Assumptions!$D$11,Tables!$L$56:$L$57,0),Tables!$M$56,Projections!X$7+Tables!$M$57)</f>
        <v>4.4999999999999998E-2</v>
      </c>
      <c r="Y9" s="26">
        <f>CHOOSE(MATCH(Assumptions!$D$11,Tables!$L$56:$L$57,0),Tables!$M$56,Projections!Y$7+Tables!$M$57)</f>
        <v>4.4999999999999998E-2</v>
      </c>
      <c r="Z9" s="26">
        <f>CHOOSE(MATCH(Assumptions!$D$11,Tables!$L$56:$L$57,0),Tables!$M$56,Projections!Z$7+Tables!$M$57)</f>
        <v>4.4999999999999998E-2</v>
      </c>
      <c r="AA9" s="26">
        <f>CHOOSE(MATCH(Assumptions!$D$11,Tables!$L$56:$L$57,0),Tables!$M$56,Projections!AA$7+Tables!$M$57)</f>
        <v>4.4999999999999998E-2</v>
      </c>
      <c r="AB9" s="26">
        <f>CHOOSE(MATCH(Assumptions!$D$11,Tables!$L$56:$L$57,0),Tables!$M$56,Projections!AB$7+Tables!$M$57)</f>
        <v>4.4999999999999998E-2</v>
      </c>
      <c r="AC9" s="26">
        <f>CHOOSE(MATCH(Assumptions!$D$11,Tables!$L$56:$L$57,0),Tables!$M$56,Projections!AC$7+Tables!$M$57)</f>
        <v>4.4999999999999998E-2</v>
      </c>
      <c r="AD9" s="26">
        <f>CHOOSE(MATCH(Assumptions!$D$11,Tables!$L$56:$L$57,0),Tables!$M$56,Projections!AD$7+Tables!$M$57)</f>
        <v>4.4999999999999998E-2</v>
      </c>
      <c r="AE9" s="26">
        <f>CHOOSE(MATCH(Assumptions!$D$11,Tables!$L$56:$L$57,0),Tables!$M$56,Projections!AE$7+Tables!$M$57)</f>
        <v>4.4999999999999998E-2</v>
      </c>
      <c r="AF9" s="26">
        <f>CHOOSE(MATCH(Assumptions!$D$11,Tables!$L$56:$L$57,0),Tables!$M$56,Projections!AF$7+Tables!$M$57)</f>
        <v>4.4999999999999998E-2</v>
      </c>
      <c r="AG9" s="26">
        <f>CHOOSE(MATCH(Assumptions!$D$11,Tables!$L$56:$L$57,0),Tables!$M$56,Projections!AG$7+Tables!$M$57)</f>
        <v>4.4999999999999998E-2</v>
      </c>
      <c r="AH9" s="26">
        <f>CHOOSE(MATCH(Assumptions!$D$11,Tables!$L$56:$L$57,0),Tables!$M$56,Projections!AH$7+Tables!$M$57)</f>
        <v>4.4999999999999998E-2</v>
      </c>
      <c r="AI9" s="26">
        <f>CHOOSE(MATCH(Assumptions!$D$11,Tables!$L$56:$L$57,0),Tables!$M$56,Projections!AI$7+Tables!$M$57)</f>
        <v>4.4999999999999998E-2</v>
      </c>
      <c r="AJ9" s="26">
        <f>CHOOSE(MATCH(Assumptions!$D$11,Tables!$L$56:$L$57,0),Tables!$M$56,Projections!AJ$7+Tables!$M$57)</f>
        <v>4.4999999999999998E-2</v>
      </c>
    </row>
    <row r="10" spans="1:36" ht="24" customHeight="1" x14ac:dyDescent="0.2">
      <c r="A10" s="1" t="s">
        <v>33</v>
      </c>
      <c r="B10" s="26">
        <f>B$100</f>
        <v>6.5000000000000002E-2</v>
      </c>
      <c r="C10" s="26">
        <f t="shared" ref="C10:AJ10" si="6">C$100</f>
        <v>6.5000000000000002E-2</v>
      </c>
      <c r="D10" s="26">
        <f t="shared" si="6"/>
        <v>6.5000000000000002E-2</v>
      </c>
      <c r="E10" s="26">
        <f t="shared" si="6"/>
        <v>6.5000000000000002E-2</v>
      </c>
      <c r="F10" s="26">
        <f t="shared" si="6"/>
        <v>6.5000000000000002E-2</v>
      </c>
      <c r="G10" s="26">
        <f t="shared" si="6"/>
        <v>6.5000000000000002E-2</v>
      </c>
      <c r="H10" s="26">
        <f t="shared" si="6"/>
        <v>6.5000000000000002E-2</v>
      </c>
      <c r="I10" s="26">
        <f t="shared" si="6"/>
        <v>6.5000000000000002E-2</v>
      </c>
      <c r="J10" s="26">
        <f t="shared" si="6"/>
        <v>6.5000000000000002E-2</v>
      </c>
      <c r="K10" s="26">
        <f t="shared" si="6"/>
        <v>6.5000000000000002E-2</v>
      </c>
      <c r="L10" s="26">
        <f t="shared" si="6"/>
        <v>6.5000000000000002E-2</v>
      </c>
      <c r="M10" s="26">
        <f t="shared" si="6"/>
        <v>6.5000000000000002E-2</v>
      </c>
      <c r="N10" s="26">
        <f t="shared" si="6"/>
        <v>6.5000000000000002E-2</v>
      </c>
      <c r="O10" s="26">
        <f t="shared" si="6"/>
        <v>6.5000000000000002E-2</v>
      </c>
      <c r="P10" s="26">
        <f t="shared" si="6"/>
        <v>6.5000000000000002E-2</v>
      </c>
      <c r="Q10" s="26">
        <f t="shared" si="6"/>
        <v>6.5000000000000002E-2</v>
      </c>
      <c r="R10" s="26">
        <f t="shared" si="6"/>
        <v>6.5000000000000002E-2</v>
      </c>
      <c r="S10" s="26">
        <f t="shared" si="6"/>
        <v>6.5000000000000002E-2</v>
      </c>
      <c r="T10" s="26">
        <f t="shared" si="6"/>
        <v>6.5000000000000002E-2</v>
      </c>
      <c r="U10" s="26">
        <f t="shared" si="6"/>
        <v>6.5000000000000002E-2</v>
      </c>
      <c r="V10" s="26">
        <f t="shared" si="6"/>
        <v>6.5000000000000002E-2</v>
      </c>
      <c r="W10" s="26">
        <f t="shared" si="6"/>
        <v>6.5000000000000002E-2</v>
      </c>
      <c r="X10" s="26">
        <f t="shared" si="6"/>
        <v>6.5000000000000002E-2</v>
      </c>
      <c r="Y10" s="26">
        <f t="shared" si="6"/>
        <v>6.5000000000000002E-2</v>
      </c>
      <c r="Z10" s="26">
        <f t="shared" si="6"/>
        <v>6.5000000000000002E-2</v>
      </c>
      <c r="AA10" s="26">
        <f t="shared" si="6"/>
        <v>6.5000000000000002E-2</v>
      </c>
      <c r="AB10" s="26">
        <f t="shared" si="6"/>
        <v>6.5000000000000002E-2</v>
      </c>
      <c r="AC10" s="26">
        <f t="shared" si="6"/>
        <v>6.5000000000000002E-2</v>
      </c>
      <c r="AD10" s="26">
        <f t="shared" si="6"/>
        <v>6.5000000000000002E-2</v>
      </c>
      <c r="AE10" s="26">
        <f t="shared" si="6"/>
        <v>6.5000000000000002E-2</v>
      </c>
      <c r="AF10" s="26">
        <f t="shared" si="6"/>
        <v>6.5000000000000002E-2</v>
      </c>
      <c r="AG10" s="26">
        <f t="shared" si="6"/>
        <v>6.5000000000000002E-2</v>
      </c>
      <c r="AH10" s="26">
        <f t="shared" si="6"/>
        <v>6.5000000000000002E-2</v>
      </c>
      <c r="AI10" s="26">
        <f t="shared" si="6"/>
        <v>6.5000000000000002E-2</v>
      </c>
      <c r="AJ10" s="26">
        <f t="shared" si="6"/>
        <v>6.5000000000000002E-2</v>
      </c>
    </row>
    <row r="11" spans="1:36" ht="24" customHeight="1" x14ac:dyDescent="0.2">
      <c r="A11" s="5"/>
      <c r="B11" s="2"/>
    </row>
    <row r="12" spans="1:36" ht="24" customHeight="1" x14ac:dyDescent="0.2">
      <c r="A12" s="22" t="s">
        <v>138</v>
      </c>
      <c r="B12" s="24">
        <f>SUM(B13:B14)</f>
        <v>0</v>
      </c>
      <c r="C12" s="24">
        <f t="shared" ref="C12:AJ12" si="7">SUM(C13:C14)</f>
        <v>0</v>
      </c>
      <c r="D12" s="24">
        <f t="shared" si="7"/>
        <v>0</v>
      </c>
      <c r="E12" s="24">
        <f t="shared" si="7"/>
        <v>0</v>
      </c>
      <c r="F12" s="24">
        <f t="shared" si="7"/>
        <v>0</v>
      </c>
      <c r="G12" s="24">
        <f t="shared" si="7"/>
        <v>0</v>
      </c>
      <c r="H12" s="24">
        <f t="shared" si="7"/>
        <v>0</v>
      </c>
      <c r="I12" s="24">
        <f t="shared" si="7"/>
        <v>0</v>
      </c>
      <c r="J12" s="24">
        <f t="shared" si="7"/>
        <v>0</v>
      </c>
      <c r="K12" s="24">
        <f t="shared" si="7"/>
        <v>0</v>
      </c>
      <c r="L12" s="24">
        <f t="shared" si="7"/>
        <v>0</v>
      </c>
      <c r="M12" s="24">
        <f t="shared" si="7"/>
        <v>0</v>
      </c>
      <c r="N12" s="24">
        <f t="shared" si="7"/>
        <v>0</v>
      </c>
      <c r="O12" s="24">
        <f t="shared" si="7"/>
        <v>0</v>
      </c>
      <c r="P12" s="24">
        <f t="shared" si="7"/>
        <v>0</v>
      </c>
      <c r="Q12" s="24">
        <f t="shared" si="7"/>
        <v>0</v>
      </c>
      <c r="R12" s="24">
        <f t="shared" si="7"/>
        <v>0</v>
      </c>
      <c r="S12" s="24">
        <f t="shared" si="7"/>
        <v>0</v>
      </c>
      <c r="T12" s="24">
        <f t="shared" si="7"/>
        <v>0</v>
      </c>
      <c r="U12" s="24">
        <f t="shared" si="7"/>
        <v>0</v>
      </c>
      <c r="V12" s="24">
        <f t="shared" si="7"/>
        <v>0</v>
      </c>
      <c r="W12" s="24">
        <f t="shared" si="7"/>
        <v>0</v>
      </c>
      <c r="X12" s="24">
        <f t="shared" si="7"/>
        <v>0</v>
      </c>
      <c r="Y12" s="24">
        <f t="shared" si="7"/>
        <v>0</v>
      </c>
      <c r="Z12" s="24">
        <f t="shared" si="7"/>
        <v>0</v>
      </c>
      <c r="AA12" s="24">
        <f t="shared" si="7"/>
        <v>0</v>
      </c>
      <c r="AB12" s="24">
        <f t="shared" si="7"/>
        <v>0</v>
      </c>
      <c r="AC12" s="24">
        <f t="shared" si="7"/>
        <v>0</v>
      </c>
      <c r="AD12" s="24">
        <f t="shared" si="7"/>
        <v>0</v>
      </c>
      <c r="AE12" s="24">
        <f t="shared" si="7"/>
        <v>0</v>
      </c>
      <c r="AF12" s="24">
        <f t="shared" si="7"/>
        <v>0</v>
      </c>
      <c r="AG12" s="24">
        <f t="shared" si="7"/>
        <v>0</v>
      </c>
      <c r="AH12" s="24">
        <f t="shared" si="7"/>
        <v>0</v>
      </c>
      <c r="AI12" s="24">
        <f t="shared" si="7"/>
        <v>0</v>
      </c>
      <c r="AJ12" s="24">
        <f t="shared" si="7"/>
        <v>0</v>
      </c>
    </row>
    <row r="13" spans="1:36" ht="24" customHeight="1" x14ac:dyDescent="0.2">
      <c r="A13" s="7" t="s">
        <v>139</v>
      </c>
      <c r="B13" s="4">
        <f>-SUMIF('Total Expenses'!$A$18:$A$22,"="&amp;B$3,'Total Expenses'!$B$18:$B$22)</f>
        <v>0</v>
      </c>
      <c r="C13" s="4">
        <f>-SUMIF('Total Expenses'!$A$18:$A$22,"="&amp;C$3,'Total Expenses'!$B$18:$B$22)</f>
        <v>0</v>
      </c>
      <c r="D13" s="4">
        <f>-SUMIF('Total Expenses'!$A$18:$A$22,"="&amp;D$3,'Total Expenses'!$B$18:$B$22)</f>
        <v>0</v>
      </c>
      <c r="E13" s="4">
        <f>-SUMIF('Total Expenses'!$A$18:$A$22,"="&amp;E$3,'Total Expenses'!$B$18:$B$22)</f>
        <v>0</v>
      </c>
      <c r="F13" s="4">
        <f>-SUMIF('Total Expenses'!$A$18:$A$22,"="&amp;F$3,'Total Expenses'!$B$18:$B$22)</f>
        <v>0</v>
      </c>
      <c r="G13" s="4">
        <f>-SUMIF('Total Expenses'!$A$18:$A$22,"="&amp;G$3,'Total Expenses'!$B$18:$B$22)</f>
        <v>0</v>
      </c>
      <c r="H13" s="4">
        <f>-SUMIF('Total Expenses'!$A$18:$A$22,"="&amp;H$3,'Total Expenses'!$B$18:$B$22)</f>
        <v>0</v>
      </c>
      <c r="I13" s="4">
        <f>-SUMIF('Total Expenses'!$A$18:$A$22,"="&amp;I$3,'Total Expenses'!$B$18:$B$22)</f>
        <v>0</v>
      </c>
      <c r="J13" s="4">
        <f>-SUMIF('Total Expenses'!$A$18:$A$22,"="&amp;J$3,'Total Expenses'!$B$18:$B$22)</f>
        <v>0</v>
      </c>
      <c r="K13" s="4">
        <f>-SUMIF('Total Expenses'!$A$18:$A$22,"="&amp;K$3,'Total Expenses'!$B$18:$B$22)</f>
        <v>0</v>
      </c>
      <c r="L13" s="4">
        <f>-SUMIF('Total Expenses'!$A$18:$A$22,"="&amp;L$3,'Total Expenses'!$B$18:$B$22)</f>
        <v>0</v>
      </c>
      <c r="M13" s="4">
        <f>-SUMIF('Total Expenses'!$A$18:$A$22,"="&amp;M$3,'Total Expenses'!$B$18:$B$22)</f>
        <v>0</v>
      </c>
      <c r="N13" s="4">
        <f>-SUMIF('Total Expenses'!$A$18:$A$22,"="&amp;N$3,'Total Expenses'!$B$18:$B$22)</f>
        <v>0</v>
      </c>
      <c r="O13" s="4">
        <f>-SUMIF('Total Expenses'!$A$18:$A$22,"="&amp;O$3,'Total Expenses'!$B$18:$B$22)</f>
        <v>0</v>
      </c>
      <c r="P13" s="4">
        <f>-SUMIF('Total Expenses'!$A$18:$A$22,"="&amp;P$3,'Total Expenses'!$B$18:$B$22)</f>
        <v>0</v>
      </c>
      <c r="Q13" s="4">
        <f>-SUMIF('Total Expenses'!$A$18:$A$22,"="&amp;Q$3,'Total Expenses'!$B$18:$B$22)</f>
        <v>0</v>
      </c>
      <c r="R13" s="4">
        <f>-SUMIF('Total Expenses'!$A$18:$A$22,"="&amp;R$3,'Total Expenses'!$B$18:$B$22)</f>
        <v>0</v>
      </c>
      <c r="S13" s="4">
        <f>-SUMIF('Total Expenses'!$A$18:$A$22,"="&amp;S$3,'Total Expenses'!$B$18:$B$22)</f>
        <v>0</v>
      </c>
      <c r="T13" s="4">
        <f>-SUMIF('Total Expenses'!$A$18:$A$22,"="&amp;T$3,'Total Expenses'!$B$18:$B$22)</f>
        <v>0</v>
      </c>
      <c r="U13" s="4">
        <f>-SUMIF('Total Expenses'!$A$18:$A$22,"="&amp;U$3,'Total Expenses'!$B$18:$B$22)</f>
        <v>0</v>
      </c>
      <c r="V13" s="4">
        <f>-SUMIF('Total Expenses'!$A$18:$A$22,"="&amp;V$3,'Total Expenses'!$B$18:$B$22)</f>
        <v>0</v>
      </c>
      <c r="W13" s="4">
        <f>-SUMIF('Total Expenses'!$A$18:$A$22,"="&amp;W$3,'Total Expenses'!$B$18:$B$22)</f>
        <v>0</v>
      </c>
      <c r="X13" s="4">
        <f>-SUMIF('Total Expenses'!$A$18:$A$22,"="&amp;X$3,'Total Expenses'!$B$18:$B$22)</f>
        <v>0</v>
      </c>
      <c r="Y13" s="4">
        <f>-SUMIF('Total Expenses'!$A$18:$A$22,"="&amp;Y$3,'Total Expenses'!$B$18:$B$22)</f>
        <v>0</v>
      </c>
      <c r="Z13" s="4">
        <f>-SUMIF('Total Expenses'!$A$18:$A$22,"="&amp;Z$3,'Total Expenses'!$B$18:$B$22)</f>
        <v>0</v>
      </c>
      <c r="AA13" s="4">
        <f>-SUMIF('Total Expenses'!$A$18:$A$22,"="&amp;AA$3,'Total Expenses'!$B$18:$B$22)</f>
        <v>0</v>
      </c>
      <c r="AB13" s="4">
        <f>-SUMIF('Total Expenses'!$A$18:$A$22,"="&amp;AB$3,'Total Expenses'!$B$18:$B$22)</f>
        <v>0</v>
      </c>
      <c r="AC13" s="4">
        <f>-SUMIF('Total Expenses'!$A$18:$A$22,"="&amp;AC$3,'Total Expenses'!$B$18:$B$22)</f>
        <v>0</v>
      </c>
      <c r="AD13" s="4">
        <f>-SUMIF('Total Expenses'!$A$18:$A$22,"="&amp;AD$3,'Total Expenses'!$B$18:$B$22)</f>
        <v>0</v>
      </c>
      <c r="AE13" s="4">
        <f>-SUMIF('Total Expenses'!$A$18:$A$22,"="&amp;AE$3,'Total Expenses'!$B$18:$B$22)</f>
        <v>0</v>
      </c>
      <c r="AF13" s="4">
        <f>-SUMIF('Total Expenses'!$A$18:$A$22,"="&amp;AF$3,'Total Expenses'!$B$18:$B$22)</f>
        <v>0</v>
      </c>
      <c r="AG13" s="4">
        <f>-SUMIF('Total Expenses'!$A$18:$A$22,"="&amp;AG$3,'Total Expenses'!$B$18:$B$22)</f>
        <v>0</v>
      </c>
      <c r="AH13" s="4">
        <f>-SUMIF('Total Expenses'!$A$18:$A$22,"="&amp;AH$3,'Total Expenses'!$B$18:$B$22)</f>
        <v>0</v>
      </c>
      <c r="AI13" s="4">
        <f>-SUMIF('Total Expenses'!$A$18:$A$22,"="&amp;AI$3,'Total Expenses'!$B$18:$B$22)</f>
        <v>0</v>
      </c>
      <c r="AJ13" s="4">
        <f>-SUMIF('Total Expenses'!$A$18:$A$22,"="&amp;AJ$3,'Total Expenses'!$B$18:$B$22)</f>
        <v>0</v>
      </c>
    </row>
    <row r="14" spans="1:36" ht="24" customHeight="1" x14ac:dyDescent="0.2">
      <c r="A14" s="7" t="s">
        <v>140</v>
      </c>
      <c r="B14" s="4">
        <f>SUMIF('Total Income'!$C$29:$C$32,"="&amp;B$3,'Total Income'!$B$29:$B$32)</f>
        <v>0</v>
      </c>
      <c r="C14" s="4">
        <f>SUMIF('Total Income'!$C$29:$C$32,"="&amp;C$3,'Total Income'!$B$29:$B$32)</f>
        <v>0</v>
      </c>
      <c r="D14" s="4">
        <f>SUMIF('Total Income'!$C$29:$C$32,"="&amp;D$3,'Total Income'!$B$29:$B$32)</f>
        <v>0</v>
      </c>
      <c r="E14" s="4">
        <f>SUMIF('Total Income'!$C$29:$C$32,"="&amp;E$3,'Total Income'!$B$29:$B$32)</f>
        <v>0</v>
      </c>
      <c r="F14" s="4">
        <f>SUMIF('Total Income'!$C$29:$C$32,"="&amp;F$3,'Total Income'!$B$29:$B$32)</f>
        <v>0</v>
      </c>
      <c r="G14" s="4">
        <f>SUMIF('Total Income'!$C$29:$C$32,"="&amp;G$3,'Total Income'!$B$29:$B$32)</f>
        <v>0</v>
      </c>
      <c r="H14" s="4">
        <f>SUMIF('Total Income'!$C$29:$C$32,"="&amp;H$3,'Total Income'!$B$29:$B$32)</f>
        <v>0</v>
      </c>
      <c r="I14" s="4">
        <f>SUMIF('Total Income'!$C$29:$C$32,"="&amp;I$3,'Total Income'!$B$29:$B$32)</f>
        <v>0</v>
      </c>
      <c r="J14" s="4">
        <f>SUMIF('Total Income'!$C$29:$C$32,"="&amp;J$3,'Total Income'!$B$29:$B$32)</f>
        <v>0</v>
      </c>
      <c r="K14" s="4">
        <f>SUMIF('Total Income'!$C$29:$C$32,"="&amp;K$3,'Total Income'!$B$29:$B$32)</f>
        <v>0</v>
      </c>
      <c r="L14" s="4">
        <f>SUMIF('Total Income'!$C$29:$C$32,"="&amp;L$3,'Total Income'!$B$29:$B$32)</f>
        <v>0</v>
      </c>
      <c r="M14" s="4">
        <f>SUMIF('Total Income'!$C$29:$C$32,"="&amp;M$3,'Total Income'!$B$29:$B$32)</f>
        <v>0</v>
      </c>
      <c r="N14" s="4">
        <f>SUMIF('Total Income'!$C$29:$C$32,"="&amp;N$3,'Total Income'!$B$29:$B$32)</f>
        <v>0</v>
      </c>
      <c r="O14" s="4">
        <f>SUMIF('Total Income'!$C$29:$C$32,"="&amp;O$3,'Total Income'!$B$29:$B$32)</f>
        <v>0</v>
      </c>
      <c r="P14" s="4">
        <f>SUMIF('Total Income'!$C$29:$C$32,"="&amp;P$3,'Total Income'!$B$29:$B$32)</f>
        <v>0</v>
      </c>
      <c r="Q14" s="4">
        <f>SUMIF('Total Income'!$C$29:$C$32,"="&amp;Q$3,'Total Income'!$B$29:$B$32)</f>
        <v>0</v>
      </c>
      <c r="R14" s="4">
        <f>SUMIF('Total Income'!$C$29:$C$32,"="&amp;R$3,'Total Income'!$B$29:$B$32)</f>
        <v>0</v>
      </c>
      <c r="S14" s="4">
        <f>SUMIF('Total Income'!$C$29:$C$32,"="&amp;S$3,'Total Income'!$B$29:$B$32)</f>
        <v>0</v>
      </c>
      <c r="T14" s="4">
        <f>SUMIF('Total Income'!$C$29:$C$32,"="&amp;T$3,'Total Income'!$B$29:$B$32)</f>
        <v>0</v>
      </c>
      <c r="U14" s="4">
        <f>SUMIF('Total Income'!$C$29:$C$32,"="&amp;U$3,'Total Income'!$B$29:$B$32)</f>
        <v>0</v>
      </c>
      <c r="V14" s="4">
        <f>SUMIF('Total Income'!$C$29:$C$32,"="&amp;V$3,'Total Income'!$B$29:$B$32)</f>
        <v>0</v>
      </c>
      <c r="W14" s="4">
        <f>SUMIF('Total Income'!$C$29:$C$32,"="&amp;W$3,'Total Income'!$B$29:$B$32)</f>
        <v>0</v>
      </c>
      <c r="X14" s="4">
        <f>SUMIF('Total Income'!$C$29:$C$32,"="&amp;X$3,'Total Income'!$B$29:$B$32)</f>
        <v>0</v>
      </c>
      <c r="Y14" s="4">
        <f>SUMIF('Total Income'!$C$29:$C$32,"="&amp;Y$3,'Total Income'!$B$29:$B$32)</f>
        <v>0</v>
      </c>
      <c r="Z14" s="4">
        <f>SUMIF('Total Income'!$C$29:$C$32,"="&amp;Z$3,'Total Income'!$B$29:$B$32)</f>
        <v>0</v>
      </c>
      <c r="AA14" s="4">
        <f>SUMIF('Total Income'!$C$29:$C$32,"="&amp;AA$3,'Total Income'!$B$29:$B$32)</f>
        <v>0</v>
      </c>
      <c r="AB14" s="4">
        <f>SUMIF('Total Income'!$C$29:$C$32,"="&amp;AB$3,'Total Income'!$B$29:$B$32)</f>
        <v>0</v>
      </c>
      <c r="AC14" s="4">
        <f>SUMIF('Total Income'!$C$29:$C$32,"="&amp;AC$3,'Total Income'!$B$29:$B$32)</f>
        <v>0</v>
      </c>
      <c r="AD14" s="4">
        <f>SUMIF('Total Income'!$C$29:$C$32,"="&amp;AD$3,'Total Income'!$B$29:$B$32)</f>
        <v>0</v>
      </c>
      <c r="AE14" s="4">
        <f>SUMIF('Total Income'!$C$29:$C$32,"="&amp;AE$3,'Total Income'!$B$29:$B$32)</f>
        <v>0</v>
      </c>
      <c r="AF14" s="4">
        <f>SUMIF('Total Income'!$C$29:$C$32,"="&amp;AF$3,'Total Income'!$B$29:$B$32)</f>
        <v>0</v>
      </c>
      <c r="AG14" s="4">
        <f>SUMIF('Total Income'!$C$29:$C$32,"="&amp;AG$3,'Total Income'!$B$29:$B$32)</f>
        <v>0</v>
      </c>
      <c r="AH14" s="4">
        <f>SUMIF('Total Income'!$C$29:$C$32,"="&amp;AH$3,'Total Income'!$B$29:$B$32)</f>
        <v>0</v>
      </c>
      <c r="AI14" s="4">
        <f>SUMIF('Total Income'!$C$29:$C$32,"="&amp;AI$3,'Total Income'!$B$29:$B$32)</f>
        <v>0</v>
      </c>
      <c r="AJ14" s="4">
        <f>SUMIF('Total Income'!$C$29:$C$32,"="&amp;AJ$3,'Total Income'!$B$29:$B$32)</f>
        <v>0</v>
      </c>
    </row>
    <row r="15" spans="1:36" ht="24" customHeight="1" x14ac:dyDescent="0.2">
      <c r="A15" s="7"/>
      <c r="B15" s="56"/>
    </row>
    <row r="16" spans="1:36" ht="24" customHeight="1" x14ac:dyDescent="0.2">
      <c r="A16" s="22" t="s">
        <v>45</v>
      </c>
      <c r="B16" s="24">
        <f ca="1">SUM(B17:B20)</f>
        <v>0</v>
      </c>
      <c r="C16" s="24">
        <f t="shared" ref="C16:AJ16" ca="1" si="8">SUM(C17:C20)</f>
        <v>0</v>
      </c>
      <c r="D16" s="24">
        <f t="shared" ca="1" si="8"/>
        <v>0</v>
      </c>
      <c r="E16" s="24">
        <f t="shared" ca="1" si="8"/>
        <v>0</v>
      </c>
      <c r="F16" s="24">
        <f t="shared" ca="1" si="8"/>
        <v>0</v>
      </c>
      <c r="G16" s="24">
        <f t="shared" ca="1" si="8"/>
        <v>0</v>
      </c>
      <c r="H16" s="24">
        <f t="shared" ca="1" si="8"/>
        <v>0</v>
      </c>
      <c r="I16" s="24">
        <f t="shared" ca="1" si="8"/>
        <v>0</v>
      </c>
      <c r="J16" s="24">
        <f t="shared" ca="1" si="8"/>
        <v>0</v>
      </c>
      <c r="K16" s="24">
        <f t="shared" ca="1" si="8"/>
        <v>0</v>
      </c>
      <c r="L16" s="24">
        <f t="shared" ca="1" si="8"/>
        <v>0</v>
      </c>
      <c r="M16" s="24">
        <f t="shared" ca="1" si="8"/>
        <v>0</v>
      </c>
      <c r="N16" s="24">
        <f t="shared" ca="1" si="8"/>
        <v>0</v>
      </c>
      <c r="O16" s="24">
        <f t="shared" ca="1" si="8"/>
        <v>0</v>
      </c>
      <c r="P16" s="24">
        <f t="shared" ca="1" si="8"/>
        <v>0</v>
      </c>
      <c r="Q16" s="24">
        <f t="shared" ca="1" si="8"/>
        <v>0</v>
      </c>
      <c r="R16" s="24">
        <f t="shared" ca="1" si="8"/>
        <v>0</v>
      </c>
      <c r="S16" s="24">
        <f t="shared" ca="1" si="8"/>
        <v>0</v>
      </c>
      <c r="T16" s="24">
        <f t="shared" ca="1" si="8"/>
        <v>0</v>
      </c>
      <c r="U16" s="24">
        <f t="shared" ca="1" si="8"/>
        <v>0</v>
      </c>
      <c r="V16" s="24">
        <f t="shared" ca="1" si="8"/>
        <v>0</v>
      </c>
      <c r="W16" s="24">
        <f t="shared" ca="1" si="8"/>
        <v>0</v>
      </c>
      <c r="X16" s="24">
        <f t="shared" ca="1" si="8"/>
        <v>0</v>
      </c>
      <c r="Y16" s="24">
        <f t="shared" ca="1" si="8"/>
        <v>0</v>
      </c>
      <c r="Z16" s="24">
        <f t="shared" ca="1" si="8"/>
        <v>0</v>
      </c>
      <c r="AA16" s="24">
        <f t="shared" ca="1" si="8"/>
        <v>0</v>
      </c>
      <c r="AB16" s="24">
        <f t="shared" ca="1" si="8"/>
        <v>0</v>
      </c>
      <c r="AC16" s="24">
        <f t="shared" ca="1" si="8"/>
        <v>0</v>
      </c>
      <c r="AD16" s="24">
        <f t="shared" ca="1" si="8"/>
        <v>0</v>
      </c>
      <c r="AE16" s="24">
        <f t="shared" ca="1" si="8"/>
        <v>0</v>
      </c>
      <c r="AF16" s="24">
        <f t="shared" ca="1" si="8"/>
        <v>0</v>
      </c>
      <c r="AG16" s="24">
        <f t="shared" ca="1" si="8"/>
        <v>0</v>
      </c>
      <c r="AH16" s="24">
        <f t="shared" ca="1" si="8"/>
        <v>0</v>
      </c>
      <c r="AI16" s="24">
        <f t="shared" ca="1" si="8"/>
        <v>0</v>
      </c>
      <c r="AJ16" s="24">
        <f t="shared" ca="1" si="8"/>
        <v>0</v>
      </c>
    </row>
    <row r="17" spans="1:36" ht="24" customHeight="1" x14ac:dyDescent="0.2">
      <c r="A17" s="21" t="s">
        <v>75</v>
      </c>
      <c r="B17" s="4">
        <f>12*(SUMIF('Total Income'!$C$4:$C$9,"&lt;="&amp;B4,'Total Income'!$B$4:$B$9)+SUMIF('Total Income'!$D$4:$D$9,"&lt;="&amp;B5,'Total Income'!$B$4:$B$9))</f>
        <v>0</v>
      </c>
      <c r="C17" s="4">
        <f>12*(SUMIF('Total Income'!$C$4:$C$9,"&lt;="&amp;C4,'Total Income'!$B$4:$B$9)+SUMIF('Total Income'!$D$4:$D$9,"&lt;="&amp;C5,'Total Income'!$B$4:$B$9))</f>
        <v>0</v>
      </c>
      <c r="D17" s="4">
        <f>12*(SUMIF('Total Income'!$C$4:$C$9,"&lt;="&amp;D4,'Total Income'!$B$4:$B$9)+SUMIF('Total Income'!$D$4:$D$9,"&lt;="&amp;D5,'Total Income'!$B$4:$B$9))</f>
        <v>0</v>
      </c>
      <c r="E17" s="4">
        <f>12*(SUMIF('Total Income'!$C$4:$C$9,"&lt;="&amp;E4,'Total Income'!$B$4:$B$9)+SUMIF('Total Income'!$D$4:$D$9,"&lt;="&amp;E5,'Total Income'!$B$4:$B$9))</f>
        <v>0</v>
      </c>
      <c r="F17" s="4">
        <f>12*(SUMIF('Total Income'!$C$4:$C$9,"&lt;="&amp;F4,'Total Income'!$B$4:$B$9)+SUMIF('Total Income'!$D$4:$D$9,"&lt;="&amp;F5,'Total Income'!$B$4:$B$9))</f>
        <v>0</v>
      </c>
      <c r="G17" s="4">
        <f>12*(SUMIF('Total Income'!$C$4:$C$9,"&lt;="&amp;G4,'Total Income'!$B$4:$B$9)+SUMIF('Total Income'!$D$4:$D$9,"&lt;="&amp;G5,'Total Income'!$B$4:$B$9))</f>
        <v>0</v>
      </c>
      <c r="H17" s="4">
        <f>12*(SUMIF('Total Income'!$C$4:$C$9,"&lt;="&amp;H4,'Total Income'!$B$4:$B$9)+SUMIF('Total Income'!$D$4:$D$9,"&lt;="&amp;H5,'Total Income'!$B$4:$B$9))</f>
        <v>0</v>
      </c>
      <c r="I17" s="4">
        <f>12*(SUMIF('Total Income'!$C$4:$C$9,"&lt;="&amp;I4,'Total Income'!$B$4:$B$9)+SUMIF('Total Income'!$D$4:$D$9,"&lt;="&amp;I5,'Total Income'!$B$4:$B$9))</f>
        <v>0</v>
      </c>
      <c r="J17" s="4">
        <f>12*(SUMIF('Total Income'!$C$4:$C$9,"&lt;="&amp;J4,'Total Income'!$B$4:$B$9)+SUMIF('Total Income'!$D$4:$D$9,"&lt;="&amp;J5,'Total Income'!$B$4:$B$9))</f>
        <v>0</v>
      </c>
      <c r="K17" s="4">
        <f>12*(SUMIF('Total Income'!$C$4:$C$9,"&lt;="&amp;K4,'Total Income'!$B$4:$B$9)+SUMIF('Total Income'!$D$4:$D$9,"&lt;="&amp;K5,'Total Income'!$B$4:$B$9))</f>
        <v>0</v>
      </c>
      <c r="L17" s="4">
        <f>12*(SUMIF('Total Income'!$C$4:$C$9,"&lt;="&amp;L4,'Total Income'!$B$4:$B$9)+SUMIF('Total Income'!$D$4:$D$9,"&lt;="&amp;L5,'Total Income'!$B$4:$B$9))</f>
        <v>0</v>
      </c>
      <c r="M17" s="4">
        <f>12*(SUMIF('Total Income'!$C$4:$C$9,"&lt;="&amp;M4,'Total Income'!$B$4:$B$9)+SUMIF('Total Income'!$D$4:$D$9,"&lt;="&amp;M5,'Total Income'!$B$4:$B$9))</f>
        <v>0</v>
      </c>
      <c r="N17" s="4">
        <f>12*(SUMIF('Total Income'!$C$4:$C$9,"&lt;="&amp;N4,'Total Income'!$B$4:$B$9)+SUMIF('Total Income'!$D$4:$D$9,"&lt;="&amp;N5,'Total Income'!$B$4:$B$9))</f>
        <v>0</v>
      </c>
      <c r="O17" s="4">
        <f>12*(SUMIF('Total Income'!$C$4:$C$9,"&lt;="&amp;O4,'Total Income'!$B$4:$B$9)+SUMIF('Total Income'!$D$4:$D$9,"&lt;="&amp;O5,'Total Income'!$B$4:$B$9))</f>
        <v>0</v>
      </c>
      <c r="P17" s="4">
        <f>12*(SUMIF('Total Income'!$C$4:$C$9,"&lt;="&amp;P4,'Total Income'!$B$4:$B$9)+SUMIF('Total Income'!$D$4:$D$9,"&lt;="&amp;P5,'Total Income'!$B$4:$B$9))</f>
        <v>0</v>
      </c>
      <c r="Q17" s="4">
        <f>12*(SUMIF('Total Income'!$C$4:$C$9,"&lt;="&amp;Q4,'Total Income'!$B$4:$B$9)+SUMIF('Total Income'!$D$4:$D$9,"&lt;="&amp;Q5,'Total Income'!$B$4:$B$9))</f>
        <v>0</v>
      </c>
      <c r="R17" s="4">
        <f>12*(SUMIF('Total Income'!$C$4:$C$9,"&lt;="&amp;R4,'Total Income'!$B$4:$B$9)+SUMIF('Total Income'!$D$4:$D$9,"&lt;="&amp;R5,'Total Income'!$B$4:$B$9))</f>
        <v>0</v>
      </c>
      <c r="S17" s="4">
        <f>12*(SUMIF('Total Income'!$C$4:$C$9,"&lt;="&amp;S4,'Total Income'!$B$4:$B$9)+SUMIF('Total Income'!$D$4:$D$9,"&lt;="&amp;S5,'Total Income'!$B$4:$B$9))</f>
        <v>0</v>
      </c>
      <c r="T17" s="4">
        <f>12*(SUMIF('Total Income'!$C$4:$C$9,"&lt;="&amp;T4,'Total Income'!$B$4:$B$9)+SUMIF('Total Income'!$D$4:$D$9,"&lt;="&amp;T5,'Total Income'!$B$4:$B$9))</f>
        <v>0</v>
      </c>
      <c r="U17" s="4">
        <f>12*(SUMIF('Total Income'!$C$4:$C$9,"&lt;="&amp;U4,'Total Income'!$B$4:$B$9)+SUMIF('Total Income'!$D$4:$D$9,"&lt;="&amp;U5,'Total Income'!$B$4:$B$9))</f>
        <v>0</v>
      </c>
      <c r="V17" s="4">
        <f>12*(SUMIF('Total Income'!$C$4:$C$9,"&lt;="&amp;V4,'Total Income'!$B$4:$B$9)+SUMIF('Total Income'!$D$4:$D$9,"&lt;="&amp;V5,'Total Income'!$B$4:$B$9))</f>
        <v>0</v>
      </c>
      <c r="W17" s="4">
        <f>12*(SUMIF('Total Income'!$C$4:$C$9,"&lt;="&amp;W4,'Total Income'!$B$4:$B$9)+SUMIF('Total Income'!$D$4:$D$9,"&lt;="&amp;W5,'Total Income'!$B$4:$B$9))</f>
        <v>0</v>
      </c>
      <c r="X17" s="4">
        <f>12*(SUMIF('Total Income'!$C$4:$C$9,"&lt;="&amp;X4,'Total Income'!$B$4:$B$9)+SUMIF('Total Income'!$D$4:$D$9,"&lt;="&amp;X5,'Total Income'!$B$4:$B$9))</f>
        <v>0</v>
      </c>
      <c r="Y17" s="4">
        <f>12*(SUMIF('Total Income'!$C$4:$C$9,"&lt;="&amp;Y4,'Total Income'!$B$4:$B$9)+SUMIF('Total Income'!$D$4:$D$9,"&lt;="&amp;Y5,'Total Income'!$B$4:$B$9))</f>
        <v>0</v>
      </c>
      <c r="Z17" s="4">
        <f>12*(SUMIF('Total Income'!$C$4:$C$9,"&lt;="&amp;Z4,'Total Income'!$B$4:$B$9)+SUMIF('Total Income'!$D$4:$D$9,"&lt;="&amp;Z5,'Total Income'!$B$4:$B$9))</f>
        <v>0</v>
      </c>
      <c r="AA17" s="4">
        <f>12*(SUMIF('Total Income'!$C$4:$C$9,"&lt;="&amp;AA4,'Total Income'!$B$4:$B$9)+SUMIF('Total Income'!$D$4:$D$9,"&lt;="&amp;AA5,'Total Income'!$B$4:$B$9))</f>
        <v>0</v>
      </c>
      <c r="AB17" s="4">
        <f>12*(SUMIF('Total Income'!$C$4:$C$9,"&lt;="&amp;AB4,'Total Income'!$B$4:$B$9)+SUMIF('Total Income'!$D$4:$D$9,"&lt;="&amp;AB5,'Total Income'!$B$4:$B$9))</f>
        <v>0</v>
      </c>
      <c r="AC17" s="4">
        <f>12*(SUMIF('Total Income'!$C$4:$C$9,"&lt;="&amp;AC4,'Total Income'!$B$4:$B$9)+SUMIF('Total Income'!$D$4:$D$9,"&lt;="&amp;AC5,'Total Income'!$B$4:$B$9))</f>
        <v>0</v>
      </c>
      <c r="AD17" s="4">
        <f>12*(SUMIF('Total Income'!$C$4:$C$9,"&lt;="&amp;AD4,'Total Income'!$B$4:$B$9)+SUMIF('Total Income'!$D$4:$D$9,"&lt;="&amp;AD5,'Total Income'!$B$4:$B$9))</f>
        <v>0</v>
      </c>
      <c r="AE17" s="4">
        <f>12*(SUMIF('Total Income'!$C$4:$C$9,"&lt;="&amp;AE4,'Total Income'!$B$4:$B$9)+SUMIF('Total Income'!$D$4:$D$9,"&lt;="&amp;AE5,'Total Income'!$B$4:$B$9))</f>
        <v>0</v>
      </c>
      <c r="AF17" s="4">
        <f>12*(SUMIF('Total Income'!$C$4:$C$9,"&lt;="&amp;AF4,'Total Income'!$B$4:$B$9)+SUMIF('Total Income'!$D$4:$D$9,"&lt;="&amp;AF5,'Total Income'!$B$4:$B$9))</f>
        <v>0</v>
      </c>
      <c r="AG17" s="4">
        <f>12*(SUMIF('Total Income'!$C$4:$C$9,"&lt;="&amp;AG4,'Total Income'!$B$4:$B$9)+SUMIF('Total Income'!$D$4:$D$9,"&lt;="&amp;AG5,'Total Income'!$B$4:$B$9))</f>
        <v>0</v>
      </c>
      <c r="AH17" s="4">
        <f>12*(SUMIF('Total Income'!$C$4:$C$9,"&lt;="&amp;AH4,'Total Income'!$B$4:$B$9)+SUMIF('Total Income'!$D$4:$D$9,"&lt;="&amp;AH5,'Total Income'!$B$4:$B$9))</f>
        <v>0</v>
      </c>
      <c r="AI17" s="4">
        <f>12*(SUMIF('Total Income'!$C$4:$C$9,"&lt;="&amp;AI4,'Total Income'!$B$4:$B$9)+SUMIF('Total Income'!$D$4:$D$9,"&lt;="&amp;AI5,'Total Income'!$B$4:$B$9))</f>
        <v>0</v>
      </c>
      <c r="AJ17" s="4">
        <f>12*(SUMIF('Total Income'!$C$4:$C$9,"&lt;="&amp;AJ4,'Total Income'!$B$4:$B$9)+SUMIF('Total Income'!$D$4:$D$9,"&lt;="&amp;AJ5,'Total Income'!$B$4:$B$9))</f>
        <v>0</v>
      </c>
    </row>
    <row r="18" spans="1:36" ht="24" customHeight="1" x14ac:dyDescent="0.2">
      <c r="A18" s="7" t="s">
        <v>76</v>
      </c>
      <c r="B18" s="2">
        <f>ROUND(12*(SUMIF('Total Income'!$C$16:$C$19,"&lt;="&amp;B4,'Total Income'!$B$16:$B$19)+SUMIF('Total Income'!$D$16:$D$19,"&lt;="&amp;B5,'Total Income'!$B$16:$B$19)+SUMIF($C$95,"&lt;="&amp;B$5,$B$95)),0)</f>
        <v>0</v>
      </c>
      <c r="C18" s="2">
        <f>ROUND(12*(SUMIF('Total Income'!$C$16:$C$19,"&lt;="&amp;C4,'Total Income'!$B$16:$B$19)+SUMIF('Total Income'!$D$16:$D$19,"&lt;="&amp;C5,'Total Income'!$B$16:$B$19)+SUMIF($C$95,"&lt;="&amp;C$4,$B$95)),0)</f>
        <v>0</v>
      </c>
      <c r="D18" s="2">
        <f>ROUND(12*(SUMIF('Total Income'!$C$16:$C$19,"&lt;="&amp;D4,'Total Income'!$B$16:$B$19)+SUMIF('Total Income'!$D$16:$D$19,"&lt;="&amp;D5,'Total Income'!$B$16:$B$19)+SUMIF($C$95,"&lt;="&amp;D$4,$B$95)),0)</f>
        <v>0</v>
      </c>
      <c r="E18" s="2">
        <f>ROUND(12*(SUMIF('Total Income'!$C$16:$C$19,"&lt;="&amp;E4,'Total Income'!$B$16:$B$19)+SUMIF('Total Income'!$D$16:$D$19,"&lt;="&amp;E5,'Total Income'!$B$16:$B$19)+SUMIF($C$95,"&lt;="&amp;E$4,$B$95)),0)</f>
        <v>0</v>
      </c>
      <c r="F18" s="2">
        <f>ROUND(12*(SUMIF('Total Income'!$C$16:$C$19,"&lt;="&amp;F4,'Total Income'!$B$16:$B$19)+SUMIF('Total Income'!$D$16:$D$19,"&lt;="&amp;F5,'Total Income'!$B$16:$B$19)+SUMIF($C$95,"&lt;="&amp;F$4,$B$95)),0)</f>
        <v>0</v>
      </c>
      <c r="G18" s="2">
        <f>ROUND(12*(SUMIF('Total Income'!$C$16:$C$19,"&lt;="&amp;G4,'Total Income'!$B$16:$B$19)+SUMIF('Total Income'!$D$16:$D$19,"&lt;="&amp;G5,'Total Income'!$B$16:$B$19)+SUMIF($C$95,"&lt;="&amp;G$4,$B$95)),0)</f>
        <v>0</v>
      </c>
      <c r="H18" s="2">
        <f>ROUND(12*(SUMIF('Total Income'!$C$16:$C$19,"&lt;="&amp;H4,'Total Income'!$B$16:$B$19)+SUMIF('Total Income'!$D$16:$D$19,"&lt;="&amp;H5,'Total Income'!$B$16:$B$19)+SUMIF($C$95,"&lt;="&amp;H$4,$B$95)),0)</f>
        <v>0</v>
      </c>
      <c r="I18" s="2">
        <f>ROUND(12*(SUMIF('Total Income'!$C$16:$C$19,"&lt;="&amp;I4,'Total Income'!$B$16:$B$19)+SUMIF('Total Income'!$D$16:$D$19,"&lt;="&amp;I5,'Total Income'!$B$16:$B$19)+SUMIF($C$95,"&lt;="&amp;I$4,$B$95)),0)</f>
        <v>0</v>
      </c>
      <c r="J18" s="2">
        <f>ROUND(12*(SUMIF('Total Income'!$C$16:$C$19,"&lt;="&amp;J4,'Total Income'!$B$16:$B$19)+SUMIF('Total Income'!$D$16:$D$19,"&lt;="&amp;J5,'Total Income'!$B$16:$B$19)+SUMIF($C$95,"&lt;="&amp;J$4,$B$95)),0)</f>
        <v>0</v>
      </c>
      <c r="K18" s="2">
        <f>ROUND(12*(SUMIF('Total Income'!$C$16:$C$19,"&lt;="&amp;K4,'Total Income'!$B$16:$B$19)+SUMIF('Total Income'!$D$16:$D$19,"&lt;="&amp;K5,'Total Income'!$B$16:$B$19)+SUMIF($C$95,"&lt;="&amp;K$4,$B$95)),0)</f>
        <v>0</v>
      </c>
      <c r="L18" s="2">
        <f>ROUND(12*(SUMIF('Total Income'!$C$16:$C$19,"&lt;="&amp;L4,'Total Income'!$B$16:$B$19)+SUMIF('Total Income'!$D$16:$D$19,"&lt;="&amp;L5,'Total Income'!$B$16:$B$19)+SUMIF($C$95,"&lt;="&amp;L$4,$B$95)),0)</f>
        <v>0</v>
      </c>
      <c r="M18" s="2">
        <f>ROUND(12*(SUMIF('Total Income'!$C$16:$C$19,"&lt;="&amp;M4,'Total Income'!$B$16:$B$19)+SUMIF('Total Income'!$D$16:$D$19,"&lt;="&amp;M5,'Total Income'!$B$16:$B$19)+SUMIF($C$95,"&lt;="&amp;M$4,$B$95)),0)</f>
        <v>0</v>
      </c>
      <c r="N18" s="2">
        <f>ROUND(12*(SUMIF('Total Income'!$C$16:$C$19,"&lt;="&amp;N4,'Total Income'!$B$16:$B$19)+SUMIF('Total Income'!$D$16:$D$19,"&lt;="&amp;N5,'Total Income'!$B$16:$B$19)+SUMIF($C$95,"&lt;="&amp;N$4,$B$95)),0)</f>
        <v>0</v>
      </c>
      <c r="O18" s="2">
        <f>ROUND(12*(SUMIF('Total Income'!$C$16:$C$19,"&lt;="&amp;O4,'Total Income'!$B$16:$B$19)+SUMIF('Total Income'!$D$16:$D$19,"&lt;="&amp;O5,'Total Income'!$B$16:$B$19)+SUMIF($C$95,"&lt;="&amp;O$4,$B$95)),0)</f>
        <v>0</v>
      </c>
      <c r="P18" s="2">
        <f>ROUND(12*(SUMIF('Total Income'!$C$16:$C$19,"&lt;="&amp;P4,'Total Income'!$B$16:$B$19)+SUMIF('Total Income'!$D$16:$D$19,"&lt;="&amp;P5,'Total Income'!$B$16:$B$19)+SUMIF($C$95,"&lt;="&amp;P$4,$B$95)),0)</f>
        <v>0</v>
      </c>
      <c r="Q18" s="2">
        <f>ROUND(12*(SUMIF('Total Income'!$C$16:$C$19,"&lt;="&amp;Q4,'Total Income'!$B$16:$B$19)+SUMIF('Total Income'!$D$16:$D$19,"&lt;="&amp;Q5,'Total Income'!$B$16:$B$19)+SUMIF($C$95,"&lt;="&amp;Q$4,$B$95)),0)</f>
        <v>0</v>
      </c>
      <c r="R18" s="2">
        <f>ROUND(12*(SUMIF('Total Income'!$C$16:$C$19,"&lt;="&amp;R4,'Total Income'!$B$16:$B$19)+SUMIF('Total Income'!$D$16:$D$19,"&lt;="&amp;R5,'Total Income'!$B$16:$B$19)+SUMIF($C$95,"&lt;="&amp;R$4,$B$95)),0)</f>
        <v>0</v>
      </c>
      <c r="S18" s="2">
        <f>ROUND(12*(SUMIF('Total Income'!$C$16:$C$19,"&lt;="&amp;S4,'Total Income'!$B$16:$B$19)+SUMIF('Total Income'!$D$16:$D$19,"&lt;="&amp;S5,'Total Income'!$B$16:$B$19)+SUMIF($C$95,"&lt;="&amp;S$4,$B$95)),0)</f>
        <v>0</v>
      </c>
      <c r="T18" s="2">
        <f>ROUND(12*(SUMIF('Total Income'!$C$16:$C$19,"&lt;="&amp;T4,'Total Income'!$B$16:$B$19)+SUMIF('Total Income'!$D$16:$D$19,"&lt;="&amp;T5,'Total Income'!$B$16:$B$19)+SUMIF($C$95,"&lt;="&amp;T$4,$B$95)),0)</f>
        <v>0</v>
      </c>
      <c r="U18" s="2">
        <f>ROUND(12*(SUMIF('Total Income'!$C$16:$C$19,"&lt;="&amp;U4,'Total Income'!$B$16:$B$19)+SUMIF('Total Income'!$D$16:$D$19,"&lt;="&amp;U5,'Total Income'!$B$16:$B$19)+SUMIF($C$95,"&lt;="&amp;U$4,$B$95)),0)</f>
        <v>0</v>
      </c>
      <c r="V18" s="2">
        <f>ROUND(12*(SUMIF('Total Income'!$C$16:$C$19,"&lt;="&amp;V4,'Total Income'!$B$16:$B$19)+SUMIF('Total Income'!$D$16:$D$19,"&lt;="&amp;V5,'Total Income'!$B$16:$B$19)+SUMIF($C$95,"&lt;="&amp;V$4,$B$95)),0)</f>
        <v>0</v>
      </c>
      <c r="W18" s="2">
        <f>ROUND(12*(SUMIF('Total Income'!$C$16:$C$19,"&lt;="&amp;W4,'Total Income'!$B$16:$B$19)+SUMIF('Total Income'!$D$16:$D$19,"&lt;="&amp;W5,'Total Income'!$B$16:$B$19)+SUMIF($C$95,"&lt;="&amp;W$4,$B$95)),0)</f>
        <v>0</v>
      </c>
      <c r="X18" s="2">
        <f>ROUND(12*(SUMIF('Total Income'!$C$16:$C$19,"&lt;="&amp;X4,'Total Income'!$B$16:$B$19)+SUMIF('Total Income'!$D$16:$D$19,"&lt;="&amp;X5,'Total Income'!$B$16:$B$19)+SUMIF($C$95,"&lt;="&amp;X$4,$B$95)),0)</f>
        <v>0</v>
      </c>
      <c r="Y18" s="2">
        <f>ROUND(12*(SUMIF('Total Income'!$C$16:$C$19,"&lt;="&amp;Y4,'Total Income'!$B$16:$B$19)+SUMIF('Total Income'!$D$16:$D$19,"&lt;="&amp;Y5,'Total Income'!$B$16:$B$19)+SUMIF($C$95,"&lt;="&amp;Y$4,$B$95)),0)</f>
        <v>0</v>
      </c>
      <c r="Z18" s="2">
        <f>ROUND(12*(SUMIF('Total Income'!$C$16:$C$19,"&lt;="&amp;Z4,'Total Income'!$B$16:$B$19)+SUMIF('Total Income'!$D$16:$D$19,"&lt;="&amp;Z5,'Total Income'!$B$16:$B$19)+SUMIF($C$95,"&lt;="&amp;Z$4,$B$95)),0)</f>
        <v>0</v>
      </c>
      <c r="AA18" s="2">
        <f>ROUND(12*(SUMIF('Total Income'!$C$16:$C$19,"&lt;="&amp;AA4,'Total Income'!$B$16:$B$19)+SUMIF('Total Income'!$D$16:$D$19,"&lt;="&amp;AA5,'Total Income'!$B$16:$B$19)+SUMIF($C$95,"&lt;="&amp;AA$4,$B$95)),0)</f>
        <v>0</v>
      </c>
      <c r="AB18" s="2">
        <f>ROUND(12*(SUMIF('Total Income'!$C$16:$C$19,"&lt;="&amp;AB4,'Total Income'!$B$16:$B$19)+SUMIF('Total Income'!$D$16:$D$19,"&lt;="&amp;AB5,'Total Income'!$B$16:$B$19)+SUMIF($C$95,"&lt;="&amp;AB$4,$B$95)),0)</f>
        <v>0</v>
      </c>
      <c r="AC18" s="2">
        <f>ROUND(12*(SUMIF('Total Income'!$C$16:$C$19,"&lt;="&amp;AC4,'Total Income'!$B$16:$B$19)+SUMIF('Total Income'!$D$16:$D$19,"&lt;="&amp;AC5,'Total Income'!$B$16:$B$19)+SUMIF($C$95,"&lt;="&amp;AC$4,$B$95)),0)</f>
        <v>0</v>
      </c>
      <c r="AD18" s="2">
        <f>ROUND(12*(SUMIF('Total Income'!$C$16:$C$19,"&lt;="&amp;AD4,'Total Income'!$B$16:$B$19)+SUMIF('Total Income'!$D$16:$D$19,"&lt;="&amp;AD5,'Total Income'!$B$16:$B$19)+SUMIF($C$95,"&lt;="&amp;AD$4,$B$95)),0)</f>
        <v>0</v>
      </c>
      <c r="AE18" s="2">
        <f>ROUND(12*(SUMIF('Total Income'!$C$16:$C$19,"&lt;="&amp;AE4,'Total Income'!$B$16:$B$19)+SUMIF('Total Income'!$D$16:$D$19,"&lt;="&amp;AE5,'Total Income'!$B$16:$B$19)+SUMIF($C$95,"&lt;="&amp;AE$4,$B$95)),0)</f>
        <v>0</v>
      </c>
      <c r="AF18" s="2">
        <f>ROUND(12*(SUMIF('Total Income'!$C$16:$C$19,"&lt;="&amp;AF4,'Total Income'!$B$16:$B$19)+SUMIF('Total Income'!$D$16:$D$19,"&lt;="&amp;AF5,'Total Income'!$B$16:$B$19)+SUMIF($C$95,"&lt;="&amp;AF$4,$B$95)),0)</f>
        <v>0</v>
      </c>
      <c r="AG18" s="2">
        <f>ROUND(12*(SUMIF('Total Income'!$C$16:$C$19,"&lt;="&amp;AG4,'Total Income'!$B$16:$B$19)+SUMIF('Total Income'!$D$16:$D$19,"&lt;="&amp;AG5,'Total Income'!$B$16:$B$19)+SUMIF($C$95,"&lt;="&amp;AG$4,$B$95)),0)</f>
        <v>0</v>
      </c>
      <c r="AH18" s="2">
        <f>ROUND(12*(SUMIF('Total Income'!$C$16:$C$19,"&lt;="&amp;AH4,'Total Income'!$B$16:$B$19)+SUMIF('Total Income'!$D$16:$D$19,"&lt;="&amp;AH5,'Total Income'!$B$16:$B$19)+SUMIF($C$95,"&lt;="&amp;AH$4,$B$95)),0)</f>
        <v>0</v>
      </c>
      <c r="AI18" s="2">
        <f>ROUND(12*(SUMIF('Total Income'!$C$16:$C$19,"&lt;="&amp;AI4,'Total Income'!$B$16:$B$19)+SUMIF('Total Income'!$D$16:$D$19,"&lt;="&amp;AI5,'Total Income'!$B$16:$B$19)+SUMIF($C$95,"&lt;="&amp;AI$4,$B$95)),0)</f>
        <v>0</v>
      </c>
      <c r="AJ18" s="2">
        <f>ROUND(12*(SUMIF('Total Income'!$C$16:$C$19,"&lt;="&amp;AJ4,'Total Income'!$B$16:$B$19)+SUMIF('Total Income'!$D$16:$D$19,"&lt;="&amp;AJ5,'Total Income'!$B$16:$B$19)+SUMIF($C$95,"&lt;="&amp;AJ$4,$B$95)),0)</f>
        <v>0</v>
      </c>
    </row>
    <row r="19" spans="1:36" ht="24" customHeight="1" x14ac:dyDescent="0.2">
      <c r="A19" s="7" t="s">
        <v>23</v>
      </c>
      <c r="B19" s="2">
        <f>IF('retirement income vs spending'!$B$44,Projections!B$98,12*(SUMIF('Total Income'!$C$12:$C$13,"&lt;="&amp;B$4,'Total Income'!$B$12:$B$13)*(1+Assumptions!$C$10)^MAX(0,Projections!B$4-'Total Income'!$C$12)+IF(Assumptions!$B$3="M",SUMIF('Total Income'!$D$12:$D$13,"&lt;="&amp;B$5,'Total Income'!$B$12:$B$13)*(1+Assumptions!$C$10)^MAX(0,Projections!B$5-'Total Income'!$D$13),0)))</f>
        <v>0</v>
      </c>
      <c r="C19" s="2">
        <f>IF('retirement income vs spending'!$B$44,Projections!C$98,12*(SUMIF('Total Income'!$C$12:$C$13,"&lt;="&amp;C$4,'Total Income'!$B$12:$B$13)*(1+Assumptions!$C$10)^MAX(0,Projections!C$4-'Total Income'!$C$12)+IF(Assumptions!$B$3="M",SUMIF('Total Income'!$D$12:$D$13,"&lt;="&amp;C$5,'Total Income'!$B$12:$B$13)*(1+Assumptions!$C$10)^MAX(0,Projections!C$5-'Total Income'!$D$13),0)))</f>
        <v>0</v>
      </c>
      <c r="D19" s="2">
        <f>IF('retirement income vs spending'!$B$44,Projections!D$98,12*(SUMIF('Total Income'!$C$12:$C$13,"&lt;="&amp;D$4,'Total Income'!$B$12:$B$13)*(1+Assumptions!$C$10)^MAX(0,Projections!D$4-'Total Income'!$C$12)+IF(Assumptions!$B$3="M",SUMIF('Total Income'!$D$12:$D$13,"&lt;="&amp;D$5,'Total Income'!$B$12:$B$13)*(1+Assumptions!$C$10)^MAX(0,Projections!D$5-'Total Income'!$D$13),0)))</f>
        <v>0</v>
      </c>
      <c r="E19" s="2">
        <f>IF('retirement income vs spending'!$B$44,Projections!E$98,12*(SUMIF('Total Income'!$C$12:$C$13,"&lt;="&amp;E$4,'Total Income'!$B$12:$B$13)*(1+Assumptions!$C$10)^MAX(0,Projections!E$4-'Total Income'!$C$12)+IF(Assumptions!$B$3="M",SUMIF('Total Income'!$D$12:$D$13,"&lt;="&amp;E$5,'Total Income'!$B$12:$B$13)*(1+Assumptions!$C$10)^MAX(0,Projections!E$5-'Total Income'!$D$13),0)))</f>
        <v>0</v>
      </c>
      <c r="F19" s="2">
        <f>IF('retirement income vs spending'!$B$44,Projections!F$98,12*(SUMIF('Total Income'!$C$12:$C$13,"&lt;="&amp;F$4,'Total Income'!$B$12:$B$13)*(1+Assumptions!$C$10)^MAX(0,Projections!F$4-'Total Income'!$C$12)+IF(Assumptions!$B$3="M",SUMIF('Total Income'!$D$12:$D$13,"&lt;="&amp;F$5,'Total Income'!$B$12:$B$13)*(1+Assumptions!$C$10)^MAX(0,Projections!F$5-'Total Income'!$D$13),0)))</f>
        <v>0</v>
      </c>
      <c r="G19" s="2">
        <f>IF('retirement income vs spending'!$B$44,Projections!G$98,12*(SUMIF('Total Income'!$C$12:$C$13,"&lt;="&amp;G$4,'Total Income'!$B$12:$B$13)*(1+Assumptions!$C$10)^MAX(0,Projections!G$4-'Total Income'!$C$12)+IF(Assumptions!$B$3="M",SUMIF('Total Income'!$D$12:$D$13,"&lt;="&amp;G$5,'Total Income'!$B$12:$B$13)*(1+Assumptions!$C$10)^MAX(0,Projections!G$5-'Total Income'!$D$13),0)))</f>
        <v>0</v>
      </c>
      <c r="H19" s="2">
        <f>IF('retirement income vs spending'!$B$44,Projections!H$98,12*(SUMIF('Total Income'!$C$12:$C$13,"&lt;="&amp;H$4,'Total Income'!$B$12:$B$13)*(1+Assumptions!$C$10)^MAX(0,Projections!H$4-'Total Income'!$C$12)+IF(Assumptions!$B$3="M",SUMIF('Total Income'!$D$12:$D$13,"&lt;="&amp;H$5,'Total Income'!$B$12:$B$13)*(1+Assumptions!$C$10)^MAX(0,Projections!H$5-'Total Income'!$D$13),0)))</f>
        <v>0</v>
      </c>
      <c r="I19" s="2">
        <f>IF('retirement income vs spending'!$B$44,Projections!I$98,12*(SUMIF('Total Income'!$C$12:$C$13,"&lt;="&amp;I$4,'Total Income'!$B$12:$B$13)*(1+Assumptions!$C$10)^MAX(0,Projections!I$4-'Total Income'!$C$12)+IF(Assumptions!$B$3="M",SUMIF('Total Income'!$D$12:$D$13,"&lt;="&amp;I$5,'Total Income'!$B$12:$B$13)*(1+Assumptions!$C$10)^MAX(0,Projections!I$5-'Total Income'!$D$13),0)))</f>
        <v>0</v>
      </c>
      <c r="J19" s="2">
        <f>IF('retirement income vs spending'!$B$44,Projections!J$98,12*(SUMIF('Total Income'!$C$12:$C$13,"&lt;="&amp;J$4,'Total Income'!$B$12:$B$13)*(1+Assumptions!$C$10)^MAX(0,Projections!J$4-'Total Income'!$C$12)+IF(Assumptions!$B$3="M",SUMIF('Total Income'!$D$12:$D$13,"&lt;="&amp;J$5,'Total Income'!$B$12:$B$13)*(1+Assumptions!$C$10)^MAX(0,Projections!J$5-'Total Income'!$D$13),0)))</f>
        <v>0</v>
      </c>
      <c r="K19" s="2">
        <f>IF('retirement income vs spending'!$B$44,Projections!K$98,12*(SUMIF('Total Income'!$C$12:$C$13,"&lt;="&amp;K$4,'Total Income'!$B$12:$B$13)*(1+Assumptions!$C$10)^MAX(0,Projections!K$4-'Total Income'!$C$12)+IF(Assumptions!$B$3="M",SUMIF('Total Income'!$D$12:$D$13,"&lt;="&amp;K$5,'Total Income'!$B$12:$B$13)*(1+Assumptions!$C$10)^MAX(0,Projections!K$5-'Total Income'!$D$13),0)))</f>
        <v>0</v>
      </c>
      <c r="L19" s="2">
        <f>IF('retirement income vs spending'!$B$44,Projections!L$98,12*(SUMIF('Total Income'!$C$12:$C$13,"&lt;="&amp;L$4,'Total Income'!$B$12:$B$13)*(1+Assumptions!$C$10)^MAX(0,Projections!L$4-'Total Income'!$C$12)+IF(Assumptions!$B$3="M",SUMIF('Total Income'!$D$12:$D$13,"&lt;="&amp;L$5,'Total Income'!$B$12:$B$13)*(1+Assumptions!$C$10)^MAX(0,Projections!L$5-'Total Income'!$D$13),0)))</f>
        <v>0</v>
      </c>
      <c r="M19" s="2">
        <f>IF('retirement income vs spending'!$B$44,Projections!M$98,12*(SUMIF('Total Income'!$C$12:$C$13,"&lt;="&amp;M$4,'Total Income'!$B$12:$B$13)*(1+Assumptions!$C$10)^MAX(0,Projections!M$4-'Total Income'!$C$12)+IF(Assumptions!$B$3="M",SUMIF('Total Income'!$D$12:$D$13,"&lt;="&amp;M$5,'Total Income'!$B$12:$B$13)*(1+Assumptions!$C$10)^MAX(0,Projections!M$5-'Total Income'!$D$13),0)))</f>
        <v>0</v>
      </c>
      <c r="N19" s="2">
        <f>IF('retirement income vs spending'!$B$44,Projections!N$98,12*(SUMIF('Total Income'!$C$12:$C$13,"&lt;="&amp;N$4,'Total Income'!$B$12:$B$13)*(1+Assumptions!$C$10)^MAX(0,Projections!N$4-'Total Income'!$C$12)+IF(Assumptions!$B$3="M",SUMIF('Total Income'!$D$12:$D$13,"&lt;="&amp;N$5,'Total Income'!$B$12:$B$13)*(1+Assumptions!$C$10)^MAX(0,Projections!N$5-'Total Income'!$D$13),0)))</f>
        <v>0</v>
      </c>
      <c r="O19" s="2">
        <f>IF('retirement income vs spending'!$B$44,Projections!O$98,12*(SUMIF('Total Income'!$C$12:$C$13,"&lt;="&amp;O$4,'Total Income'!$B$12:$B$13)*(1+Assumptions!$C$10)^MAX(0,Projections!O$4-'Total Income'!$C$12)+IF(Assumptions!$B$3="M",SUMIF('Total Income'!$D$12:$D$13,"&lt;="&amp;O$5,'Total Income'!$B$12:$B$13)*(1+Assumptions!$C$10)^MAX(0,Projections!O$5-'Total Income'!$D$13),0)))</f>
        <v>0</v>
      </c>
      <c r="P19" s="2">
        <f>IF('retirement income vs spending'!$B$44,Projections!P$98,12*(SUMIF('Total Income'!$C$12:$C$13,"&lt;="&amp;P$4,'Total Income'!$B$12:$B$13)*(1+Assumptions!$C$10)^MAX(0,Projections!P$4-'Total Income'!$C$12)+IF(Assumptions!$B$3="M",SUMIF('Total Income'!$D$12:$D$13,"&lt;="&amp;P$5,'Total Income'!$B$12:$B$13)*(1+Assumptions!$C$10)^MAX(0,Projections!P$5-'Total Income'!$D$13),0)))</f>
        <v>0</v>
      </c>
      <c r="Q19" s="2">
        <f>IF('retirement income vs spending'!$B$44,Projections!Q$98,12*(SUMIF('Total Income'!$C$12:$C$13,"&lt;="&amp;Q$4,'Total Income'!$B$12:$B$13)*(1+Assumptions!$C$10)^MAX(0,Projections!Q$4-'Total Income'!$C$12)+IF(Assumptions!$B$3="M",SUMIF('Total Income'!$D$12:$D$13,"&lt;="&amp;Q$5,'Total Income'!$B$12:$B$13)*(1+Assumptions!$C$10)^MAX(0,Projections!Q$5-'Total Income'!$D$13),0)))</f>
        <v>0</v>
      </c>
      <c r="R19" s="2">
        <f>IF('retirement income vs spending'!$B$44,Projections!R$98,12*(SUMIF('Total Income'!$C$12:$C$13,"&lt;="&amp;R$4,'Total Income'!$B$12:$B$13)*(1+Assumptions!$C$10)^MAX(0,Projections!R$4-'Total Income'!$C$12)+IF(Assumptions!$B$3="M",SUMIF('Total Income'!$D$12:$D$13,"&lt;="&amp;R$5,'Total Income'!$B$12:$B$13)*(1+Assumptions!$C$10)^MAX(0,Projections!R$5-'Total Income'!$D$13),0)))</f>
        <v>0</v>
      </c>
      <c r="S19" s="2">
        <f>IF('retirement income vs spending'!$B$44,Projections!S$98,12*(SUMIF('Total Income'!$C$12:$C$13,"&lt;="&amp;S$4,'Total Income'!$B$12:$B$13)*(1+Assumptions!$C$10)^MAX(0,Projections!S$4-'Total Income'!$C$12)+IF(Assumptions!$B$3="M",SUMIF('Total Income'!$D$12:$D$13,"&lt;="&amp;S$5,'Total Income'!$B$12:$B$13)*(1+Assumptions!$C$10)^MAX(0,Projections!S$5-'Total Income'!$D$13),0)))</f>
        <v>0</v>
      </c>
      <c r="T19" s="2">
        <f>IF('retirement income vs spending'!$B$44,Projections!T$98,12*(SUMIF('Total Income'!$C$12:$C$13,"&lt;="&amp;T$4,'Total Income'!$B$12:$B$13)*(1+Assumptions!$C$10)^MAX(0,Projections!T$4-'Total Income'!$C$12)+IF(Assumptions!$B$3="M",SUMIF('Total Income'!$D$12:$D$13,"&lt;="&amp;T$5,'Total Income'!$B$12:$B$13)*(1+Assumptions!$C$10)^MAX(0,Projections!T$5-'Total Income'!$D$13),0)))</f>
        <v>0</v>
      </c>
      <c r="U19" s="2">
        <f>IF('retirement income vs spending'!$B$44,Projections!U$98,12*(SUMIF('Total Income'!$C$12:$C$13,"&lt;="&amp;U$4,'Total Income'!$B$12:$B$13)*(1+Assumptions!$C$10)^MAX(0,Projections!U$4-'Total Income'!$C$12)+IF(Assumptions!$B$3="M",SUMIF('Total Income'!$D$12:$D$13,"&lt;="&amp;U$5,'Total Income'!$B$12:$B$13)*(1+Assumptions!$C$10)^MAX(0,Projections!U$5-'Total Income'!$D$13),0)))</f>
        <v>0</v>
      </c>
      <c r="V19" s="2">
        <f>IF('retirement income vs spending'!$B$44,Projections!V$98,12*(SUMIF('Total Income'!$C$12:$C$13,"&lt;="&amp;V$4,'Total Income'!$B$12:$B$13)*(1+Assumptions!$C$10)^MAX(0,Projections!V$4-'Total Income'!$C$12)+IF(Assumptions!$B$3="M",SUMIF('Total Income'!$D$12:$D$13,"&lt;="&amp;V$5,'Total Income'!$B$12:$B$13)*(1+Assumptions!$C$10)^MAX(0,Projections!V$5-'Total Income'!$D$13),0)))</f>
        <v>0</v>
      </c>
      <c r="W19" s="2">
        <f>IF('retirement income vs spending'!$B$44,Projections!W$98,12*(SUMIF('Total Income'!$C$12:$C$13,"&lt;="&amp;W$4,'Total Income'!$B$12:$B$13)*(1+Assumptions!$C$10)^MAX(0,Projections!W$4-'Total Income'!$C$12)+IF(Assumptions!$B$3="M",SUMIF('Total Income'!$D$12:$D$13,"&lt;="&amp;W$5,'Total Income'!$B$12:$B$13)*(1+Assumptions!$C$10)^MAX(0,Projections!W$5-'Total Income'!$D$13),0)))</f>
        <v>0</v>
      </c>
      <c r="X19" s="2">
        <f>IF('retirement income vs spending'!$B$44,Projections!X$98,12*(SUMIF('Total Income'!$C$12:$C$13,"&lt;="&amp;X$4,'Total Income'!$B$12:$B$13)*(1+Assumptions!$C$10)^MAX(0,Projections!X$4-'Total Income'!$C$12)+IF(Assumptions!$B$3="M",SUMIF('Total Income'!$D$12:$D$13,"&lt;="&amp;X$5,'Total Income'!$B$12:$B$13)*(1+Assumptions!$C$10)^MAX(0,Projections!X$5-'Total Income'!$D$13),0)))</f>
        <v>0</v>
      </c>
      <c r="Y19" s="2">
        <f>IF('retirement income vs spending'!$B$44,Projections!Y$98,12*(SUMIF('Total Income'!$C$12:$C$13,"&lt;="&amp;Y$4,'Total Income'!$B$12:$B$13)*(1+Assumptions!$C$10)^MAX(0,Projections!Y$4-'Total Income'!$C$12)+IF(Assumptions!$B$3="M",SUMIF('Total Income'!$D$12:$D$13,"&lt;="&amp;Y$5,'Total Income'!$B$12:$B$13)*(1+Assumptions!$C$10)^MAX(0,Projections!Y$5-'Total Income'!$D$13),0)))</f>
        <v>0</v>
      </c>
      <c r="Z19" s="2">
        <f>IF('retirement income vs spending'!$B$44,Projections!Z$98,12*(SUMIF('Total Income'!$C$12:$C$13,"&lt;="&amp;Z$4,'Total Income'!$B$12:$B$13)*(1+Assumptions!$C$10)^MAX(0,Projections!Z$4-'Total Income'!$C$12)+IF(Assumptions!$B$3="M",SUMIF('Total Income'!$D$12:$D$13,"&lt;="&amp;Z$5,'Total Income'!$B$12:$B$13)*(1+Assumptions!$C$10)^MAX(0,Projections!Z$5-'Total Income'!$D$13),0)))</f>
        <v>0</v>
      </c>
      <c r="AA19" s="2">
        <f>IF('retirement income vs spending'!$B$44,Projections!AA$98,12*(SUMIF('Total Income'!$C$12:$C$13,"&lt;="&amp;AA$4,'Total Income'!$B$12:$B$13)*(1+Assumptions!$C$10)^MAX(0,Projections!AA$4-'Total Income'!$C$12)+IF(Assumptions!$B$3="M",SUMIF('Total Income'!$D$12:$D$13,"&lt;="&amp;AA$5,'Total Income'!$B$12:$B$13)*(1+Assumptions!$C$10)^MAX(0,Projections!AA$5-'Total Income'!$D$13),0)))</f>
        <v>0</v>
      </c>
      <c r="AB19" s="2">
        <f>IF('retirement income vs spending'!$B$44,Projections!AB$98,12*(SUMIF('Total Income'!$C$12:$C$13,"&lt;="&amp;AB$4,'Total Income'!$B$12:$B$13)*(1+Assumptions!$C$10)^MAX(0,Projections!AB$4-'Total Income'!$C$12)+IF(Assumptions!$B$3="M",SUMIF('Total Income'!$D$12:$D$13,"&lt;="&amp;AB$5,'Total Income'!$B$12:$B$13)*(1+Assumptions!$C$10)^MAX(0,Projections!AB$5-'Total Income'!$D$13),0)))</f>
        <v>0</v>
      </c>
      <c r="AC19" s="2">
        <f>IF('retirement income vs spending'!$B$44,Projections!AC$98,12*(SUMIF('Total Income'!$C$12:$C$13,"&lt;="&amp;AC$4,'Total Income'!$B$12:$B$13)*(1+Assumptions!$C$10)^MAX(0,Projections!AC$4-'Total Income'!$C$12)+IF(Assumptions!$B$3="M",SUMIF('Total Income'!$D$12:$D$13,"&lt;="&amp;AC$5,'Total Income'!$B$12:$B$13)*(1+Assumptions!$C$10)^MAX(0,Projections!AC$5-'Total Income'!$D$13),0)))</f>
        <v>0</v>
      </c>
      <c r="AD19" s="2">
        <f>IF('retirement income vs spending'!$B$44,Projections!AD$98,12*(SUMIF('Total Income'!$C$12:$C$13,"&lt;="&amp;AD$4,'Total Income'!$B$12:$B$13)*(1+Assumptions!$C$10)^MAX(0,Projections!AD$4-'Total Income'!$C$12)+IF(Assumptions!$B$3="M",SUMIF('Total Income'!$D$12:$D$13,"&lt;="&amp;AD$5,'Total Income'!$B$12:$B$13)*(1+Assumptions!$C$10)^MAX(0,Projections!AD$5-'Total Income'!$D$13),0)))</f>
        <v>0</v>
      </c>
      <c r="AE19" s="2">
        <f>IF('retirement income vs spending'!$B$44,Projections!AE$98,12*(SUMIF('Total Income'!$C$12:$C$13,"&lt;="&amp;AE$4,'Total Income'!$B$12:$B$13)*(1+Assumptions!$C$10)^MAX(0,Projections!AE$4-'Total Income'!$C$12)+IF(Assumptions!$B$3="M",SUMIF('Total Income'!$D$12:$D$13,"&lt;="&amp;AE$5,'Total Income'!$B$12:$B$13)*(1+Assumptions!$C$10)^MAX(0,Projections!AE$5-'Total Income'!$D$13),0)))</f>
        <v>0</v>
      </c>
      <c r="AF19" s="2">
        <f>IF('retirement income vs spending'!$B$44,Projections!AF$98,12*(SUMIF('Total Income'!$C$12:$C$13,"&lt;="&amp;AF$4,'Total Income'!$B$12:$B$13)*(1+Assumptions!$C$10)^MAX(0,Projections!AF$4-'Total Income'!$C$12)+IF(Assumptions!$B$3="M",SUMIF('Total Income'!$D$12:$D$13,"&lt;="&amp;AF$5,'Total Income'!$B$12:$B$13)*(1+Assumptions!$C$10)^MAX(0,Projections!AF$5-'Total Income'!$D$13),0)))</f>
        <v>0</v>
      </c>
      <c r="AG19" s="2">
        <f>IF('retirement income vs spending'!$B$44,Projections!AG$98,12*(SUMIF('Total Income'!$C$12:$C$13,"&lt;="&amp;AG$4,'Total Income'!$B$12:$B$13)*(1+Assumptions!$C$10)^MAX(0,Projections!AG$4-'Total Income'!$C$12)+IF(Assumptions!$B$3="M",SUMIF('Total Income'!$D$12:$D$13,"&lt;="&amp;AG$5,'Total Income'!$B$12:$B$13)*(1+Assumptions!$C$10)^MAX(0,Projections!AG$5-'Total Income'!$D$13),0)))</f>
        <v>0</v>
      </c>
      <c r="AH19" s="2">
        <f>IF('retirement income vs spending'!$B$44,Projections!AH$98,12*(SUMIF('Total Income'!$C$12:$C$13,"&lt;="&amp;AH$4,'Total Income'!$B$12:$B$13)*(1+Assumptions!$C$10)^MAX(0,Projections!AH$4-'Total Income'!$C$12)+IF(Assumptions!$B$3="M",SUMIF('Total Income'!$D$12:$D$13,"&lt;="&amp;AH$5,'Total Income'!$B$12:$B$13)*(1+Assumptions!$C$10)^MAX(0,Projections!AH$5-'Total Income'!$D$13),0)))</f>
        <v>0</v>
      </c>
      <c r="AI19" s="2">
        <f>IF('retirement income vs spending'!$B$44,Projections!AI$98,12*(SUMIF('Total Income'!$C$12:$C$13,"&lt;="&amp;AI$4,'Total Income'!$B$12:$B$13)*(1+Assumptions!$C$10)^MAX(0,Projections!AI$4-'Total Income'!$C$12)+IF(Assumptions!$B$3="M",SUMIF('Total Income'!$D$12:$D$13,"&lt;="&amp;AI$5,'Total Income'!$B$12:$B$13)*(1+Assumptions!$C$10)^MAX(0,Projections!AI$5-'Total Income'!$D$13),0)))</f>
        <v>0</v>
      </c>
      <c r="AJ19" s="2">
        <f>IF('retirement income vs spending'!$B$44,Projections!AJ$98,12*(SUMIF('Total Income'!$C$12:$C$13,"&lt;="&amp;AJ$4,'Total Income'!$B$12:$B$13)*(1+Assumptions!$C$10)^MAX(0,Projections!AJ$4-'Total Income'!$C$12)+IF(Assumptions!$B$3="M",SUMIF('Total Income'!$D$12:$D$13,"&lt;="&amp;AJ$5,'Total Income'!$B$12:$B$13)*(1+Assumptions!$C$10)^MAX(0,Projections!AJ$5-'Total Income'!$D$13),0)))</f>
        <v>0</v>
      </c>
    </row>
    <row r="20" spans="1:36" ht="24" customHeight="1" x14ac:dyDescent="0.2">
      <c r="A20" s="7" t="s">
        <v>294</v>
      </c>
      <c r="B20" s="2">
        <f ca="1">12*(SUMIF('Total Income'!$C$22:$C$23,"&gt;"&amp;B$4,'Total Income'!$B$22:$B$22)+SUMIF('Total Income'!$D$22:$D$23,"&gt;"&amp;B$5,'Total Income'!$B$22:$B$23)+SUMIF($C$91,"&gt;"&amp;B$4,$B$91))</f>
        <v>0</v>
      </c>
      <c r="C20" s="2">
        <f ca="1">12*(SUMIF('Total Income'!$C$22:$C$23,"&gt;"&amp;C$4,'Total Income'!$B$22:$B$22)+SUMIF('Total Income'!$D$22:$D$23,"&gt;"&amp;C$5,'Total Income'!$B$22:$B$23)+SUMIF($C$91,"&gt;"&amp;C$4,$B$91))</f>
        <v>0</v>
      </c>
      <c r="D20" s="2">
        <f ca="1">12*(SUMIF('Total Income'!$C$22:$C$23,"&gt;"&amp;D$4,'Total Income'!$B$22:$B$22)+SUMIF('Total Income'!$D$22:$D$23,"&gt;"&amp;D$5,'Total Income'!$B$22:$B$23)+SUMIF($C$91,"&gt;"&amp;D$4,$B$91))</f>
        <v>0</v>
      </c>
      <c r="E20" s="2">
        <f ca="1">12*(SUMIF('Total Income'!$C$22:$C$23,"&gt;"&amp;E$4,'Total Income'!$B$22:$B$22)+SUMIF('Total Income'!$D$22:$D$23,"&gt;"&amp;E$5,'Total Income'!$B$22:$B$23)+SUMIF($C$91,"&gt;"&amp;E$4,$B$91))</f>
        <v>0</v>
      </c>
      <c r="F20" s="2">
        <f ca="1">12*(SUMIF('Total Income'!$C$22:$C$23,"&gt;"&amp;F$4,'Total Income'!$B$22:$B$22)+SUMIF('Total Income'!$D$22:$D$23,"&gt;"&amp;F$5,'Total Income'!$B$22:$B$23)+SUMIF($C$91,"&gt;"&amp;F$4,$B$91))</f>
        <v>0</v>
      </c>
      <c r="G20" s="2">
        <f ca="1">12*(SUMIF('Total Income'!$C$22:$C$23,"&gt;"&amp;G$4,'Total Income'!$B$22:$B$22)+SUMIF('Total Income'!$D$22:$D$23,"&gt;"&amp;G$5,'Total Income'!$B$22:$B$23)+SUMIF($C$91,"&gt;"&amp;G$4,$B$91))</f>
        <v>0</v>
      </c>
      <c r="H20" s="2">
        <f ca="1">12*(SUMIF('Total Income'!$C$22:$C$23,"&gt;"&amp;H$4,'Total Income'!$B$22:$B$22)+SUMIF('Total Income'!$D$22:$D$23,"&gt;"&amp;H$5,'Total Income'!$B$22:$B$23)+SUMIF($C$91,"&gt;"&amp;H$4,$B$91))</f>
        <v>0</v>
      </c>
      <c r="I20" s="2">
        <f ca="1">12*(SUMIF('Total Income'!$C$22:$C$23,"&gt;"&amp;I$4,'Total Income'!$B$22:$B$22)+SUMIF('Total Income'!$D$22:$D$23,"&gt;"&amp;I$5,'Total Income'!$B$22:$B$23)+SUMIF($C$91,"&gt;"&amp;I$4,$B$91))</f>
        <v>0</v>
      </c>
      <c r="J20" s="2">
        <f ca="1">12*(SUMIF('Total Income'!$C$22:$C$23,"&gt;"&amp;J$4,'Total Income'!$B$22:$B$22)+SUMIF('Total Income'!$D$22:$D$23,"&gt;"&amp;J$5,'Total Income'!$B$22:$B$23)+SUMIF($C$91,"&gt;"&amp;J$4,$B$91))</f>
        <v>0</v>
      </c>
      <c r="K20" s="2">
        <f ca="1">12*(SUMIF('Total Income'!$C$22:$C$23,"&gt;"&amp;K$4,'Total Income'!$B$22:$B$22)+SUMIF('Total Income'!$D$22:$D$23,"&gt;"&amp;K$5,'Total Income'!$B$22:$B$23)+SUMIF($C$91,"&gt;"&amp;K$4,$B$91))</f>
        <v>0</v>
      </c>
      <c r="L20" s="2">
        <f ca="1">12*(SUMIF('Total Income'!$C$22:$C$23,"&gt;"&amp;L$4,'Total Income'!$B$22:$B$22)+SUMIF('Total Income'!$D$22:$D$23,"&gt;"&amp;L$5,'Total Income'!$B$22:$B$23)+SUMIF($C$91,"&gt;"&amp;L$4,$B$91))</f>
        <v>0</v>
      </c>
      <c r="M20" s="2">
        <f ca="1">12*(SUMIF('Total Income'!$C$22:$C$23,"&gt;"&amp;M$4,'Total Income'!$B$22:$B$22)+SUMIF('Total Income'!$D$22:$D$23,"&gt;"&amp;M$5,'Total Income'!$B$22:$B$23)+SUMIF($C$91,"&gt;"&amp;M$4,$B$91))</f>
        <v>0</v>
      </c>
      <c r="N20" s="2">
        <f ca="1">12*(SUMIF('Total Income'!$C$22:$C$23,"&gt;"&amp;N$4,'Total Income'!$B$22:$B$22)+SUMIF('Total Income'!$D$22:$D$23,"&gt;"&amp;N$5,'Total Income'!$B$22:$B$23)+SUMIF($C$91,"&gt;"&amp;N$4,$B$91))</f>
        <v>0</v>
      </c>
      <c r="O20" s="2">
        <f ca="1">12*(SUMIF('Total Income'!$C$22:$C$23,"&gt;"&amp;O$4,'Total Income'!$B$22:$B$22)+SUMIF('Total Income'!$D$22:$D$23,"&gt;"&amp;O$5,'Total Income'!$B$22:$B$23)+SUMIF($C$91,"&gt;"&amp;O$4,$B$91))</f>
        <v>0</v>
      </c>
      <c r="P20" s="2">
        <f ca="1">12*(SUMIF('Total Income'!$C$22:$C$23,"&gt;"&amp;P$4,'Total Income'!$B$22:$B$22)+SUMIF('Total Income'!$D$22:$D$23,"&gt;"&amp;P$5,'Total Income'!$B$22:$B$23)+SUMIF($C$91,"&gt;"&amp;P$4,$B$91))</f>
        <v>0</v>
      </c>
      <c r="Q20" s="2">
        <f ca="1">12*(SUMIF('Total Income'!$C$22:$C$23,"&gt;"&amp;Q$4,'Total Income'!$B$22:$B$22)+SUMIF('Total Income'!$D$22:$D$23,"&gt;"&amp;Q$5,'Total Income'!$B$22:$B$23)+SUMIF($C$91,"&gt;"&amp;Q$4,$B$91))</f>
        <v>0</v>
      </c>
      <c r="R20" s="2">
        <f ca="1">12*(SUMIF('Total Income'!$C$22:$C$23,"&gt;"&amp;R$4,'Total Income'!$B$22:$B$22)+SUMIF('Total Income'!$D$22:$D$23,"&gt;"&amp;R$5,'Total Income'!$B$22:$B$23)+SUMIF($C$91,"&gt;"&amp;R$4,$B$91))</f>
        <v>0</v>
      </c>
      <c r="S20" s="2">
        <f ca="1">12*(SUMIF('Total Income'!$C$22:$C$23,"&gt;"&amp;S$4,'Total Income'!$B$22:$B$22)+SUMIF('Total Income'!$D$22:$D$23,"&gt;"&amp;S$5,'Total Income'!$B$22:$B$23)+SUMIF($C$91,"&gt;"&amp;S$4,$B$91))</f>
        <v>0</v>
      </c>
      <c r="T20" s="2">
        <f ca="1">12*(SUMIF('Total Income'!$C$22:$C$23,"&gt;"&amp;T$4,'Total Income'!$B$22:$B$22)+SUMIF('Total Income'!$D$22:$D$23,"&gt;"&amp;T$5,'Total Income'!$B$22:$B$23)+SUMIF($C$91,"&gt;"&amp;T$4,$B$91))</f>
        <v>0</v>
      </c>
      <c r="U20" s="2">
        <f ca="1">12*(SUMIF('Total Income'!$C$22:$C$23,"&gt;"&amp;U$4,'Total Income'!$B$22:$B$22)+SUMIF('Total Income'!$D$22:$D$23,"&gt;"&amp;U$5,'Total Income'!$B$22:$B$23)+SUMIF($C$91,"&gt;"&amp;U$4,$B$91))</f>
        <v>0</v>
      </c>
      <c r="V20" s="2">
        <f ca="1">12*(SUMIF('Total Income'!$C$22:$C$23,"&gt;"&amp;V$4,'Total Income'!$B$22:$B$22)+SUMIF('Total Income'!$D$22:$D$23,"&gt;"&amp;V$5,'Total Income'!$B$22:$B$23)+SUMIF($C$91,"&gt;"&amp;V$4,$B$91))</f>
        <v>0</v>
      </c>
      <c r="W20" s="2">
        <f ca="1">12*(SUMIF('Total Income'!$C$22:$C$23,"&gt;"&amp;W$4,'Total Income'!$B$22:$B$22)+SUMIF('Total Income'!$D$22:$D$23,"&gt;"&amp;W$5,'Total Income'!$B$22:$B$23)+SUMIF($C$91,"&gt;"&amp;W$4,$B$91))</f>
        <v>0</v>
      </c>
      <c r="X20" s="2">
        <f ca="1">12*(SUMIF('Total Income'!$C$22:$C$23,"&gt;"&amp;X$4,'Total Income'!$B$22:$B$22)+SUMIF('Total Income'!$D$22:$D$23,"&gt;"&amp;X$5,'Total Income'!$B$22:$B$23)+SUMIF($C$91,"&gt;"&amp;X$4,$B$91))</f>
        <v>0</v>
      </c>
      <c r="Y20" s="2">
        <f ca="1">12*(SUMIF('Total Income'!$C$22:$C$23,"&gt;"&amp;Y$4,'Total Income'!$B$22:$B$22)+SUMIF('Total Income'!$D$22:$D$23,"&gt;"&amp;Y$5,'Total Income'!$B$22:$B$23)+SUMIF($C$91,"&gt;"&amp;Y$4,$B$91))</f>
        <v>0</v>
      </c>
      <c r="Z20" s="2">
        <f ca="1">12*(SUMIF('Total Income'!$C$22:$C$23,"&gt;"&amp;Z$4,'Total Income'!$B$22:$B$22)+SUMIF('Total Income'!$D$22:$D$23,"&gt;"&amp;Z$5,'Total Income'!$B$22:$B$23)+SUMIF($C$91,"&gt;"&amp;Z$4,$B$91))</f>
        <v>0</v>
      </c>
      <c r="AA20" s="2">
        <f ca="1">12*(SUMIF('Total Income'!$C$22:$C$23,"&gt;"&amp;AA$4,'Total Income'!$B$22:$B$22)+SUMIF('Total Income'!$D$22:$D$23,"&gt;"&amp;AA$5,'Total Income'!$B$22:$B$23)+SUMIF($C$91,"&gt;"&amp;AA$4,$B$91))</f>
        <v>0</v>
      </c>
      <c r="AB20" s="2">
        <f ca="1">12*(SUMIF('Total Income'!$C$22:$C$23,"&gt;"&amp;AB$4,'Total Income'!$B$22:$B$22)+SUMIF('Total Income'!$D$22:$D$23,"&gt;"&amp;AB$5,'Total Income'!$B$22:$B$23)+SUMIF($C$91,"&gt;"&amp;AB$4,$B$91))</f>
        <v>0</v>
      </c>
      <c r="AC20" s="2">
        <f ca="1">12*(SUMIF('Total Income'!$C$22:$C$23,"&gt;"&amp;AC$4,'Total Income'!$B$22:$B$22)+SUMIF('Total Income'!$D$22:$D$23,"&gt;"&amp;AC$5,'Total Income'!$B$22:$B$23)+SUMIF($C$91,"&gt;"&amp;AC$4,$B$91))</f>
        <v>0</v>
      </c>
      <c r="AD20" s="2">
        <f ca="1">12*(SUMIF('Total Income'!$C$22:$C$23,"&gt;"&amp;AD$4,'Total Income'!$B$22:$B$22)+SUMIF('Total Income'!$D$22:$D$23,"&gt;"&amp;AD$5,'Total Income'!$B$22:$B$23)+SUMIF($C$91,"&gt;"&amp;AD$4,$B$91))</f>
        <v>0</v>
      </c>
      <c r="AE20" s="2">
        <f ca="1">12*(SUMIF('Total Income'!$C$22:$C$23,"&gt;"&amp;AE$4,'Total Income'!$B$22:$B$22)+SUMIF('Total Income'!$D$22:$D$23,"&gt;"&amp;AE$5,'Total Income'!$B$22:$B$23)+SUMIF($C$91,"&gt;"&amp;AE$4,$B$91))</f>
        <v>0</v>
      </c>
      <c r="AF20" s="2">
        <f ca="1">12*(SUMIF('Total Income'!$C$22:$C$23,"&gt;"&amp;AF$4,'Total Income'!$B$22:$B$22)+SUMIF('Total Income'!$D$22:$D$23,"&gt;"&amp;AF$5,'Total Income'!$B$22:$B$23)+SUMIF($C$91,"&gt;"&amp;AF$4,$B$91))</f>
        <v>0</v>
      </c>
      <c r="AG20" s="2">
        <f ca="1">12*(SUMIF('Total Income'!$C$22:$C$23,"&gt;"&amp;AG$4,'Total Income'!$B$22:$B$22)+SUMIF('Total Income'!$D$22:$D$23,"&gt;"&amp;AG$5,'Total Income'!$B$22:$B$23)+SUMIF($C$91,"&gt;"&amp;AG$4,$B$91))</f>
        <v>0</v>
      </c>
      <c r="AH20" s="2">
        <f ca="1">12*(SUMIF('Total Income'!$C$22:$C$23,"&gt;"&amp;AH$4,'Total Income'!$B$22:$B$22)+SUMIF('Total Income'!$D$22:$D$23,"&gt;"&amp;AH$5,'Total Income'!$B$22:$B$23)+SUMIF($C$91,"&gt;"&amp;AH$4,$B$91))</f>
        <v>0</v>
      </c>
      <c r="AI20" s="2">
        <f ca="1">12*(SUMIF('Total Income'!$C$22:$C$23,"&gt;"&amp;AI$4,'Total Income'!$B$22:$B$22)+SUMIF('Total Income'!$D$22:$D$23,"&gt;"&amp;AI$5,'Total Income'!$B$22:$B$23)+SUMIF($C$91,"&gt;"&amp;AI$4,$B$91))</f>
        <v>0</v>
      </c>
      <c r="AJ20" s="2">
        <f ca="1">12*(SUMIF('Total Income'!$C$22:$C$23,"&gt;"&amp;AJ$4,'Total Income'!$B$22:$B$22)+SUMIF('Total Income'!$D$22:$D$23,"&gt;"&amp;AJ$5,'Total Income'!$B$22:$B$23)+SUMIF($C$91,"&gt;"&amp;AJ$4,$B$91))</f>
        <v>0</v>
      </c>
    </row>
    <row r="21" spans="1:36" ht="24" customHeight="1" x14ac:dyDescent="0.2">
      <c r="A21" s="7"/>
      <c r="B21" s="2"/>
    </row>
    <row r="22" spans="1:36" ht="24" customHeight="1" x14ac:dyDescent="0.2">
      <c r="A22" s="22" t="s">
        <v>46</v>
      </c>
      <c r="B22" s="24">
        <f>SUM(B23:B25)</f>
        <v>0</v>
      </c>
      <c r="C22" s="24">
        <f t="shared" ref="C22:AJ22" si="9">SUM(C23:C25)</f>
        <v>0</v>
      </c>
      <c r="D22" s="24">
        <f t="shared" si="9"/>
        <v>0</v>
      </c>
      <c r="E22" s="24">
        <f t="shared" si="9"/>
        <v>0</v>
      </c>
      <c r="F22" s="24">
        <f t="shared" si="9"/>
        <v>0</v>
      </c>
      <c r="G22" s="24">
        <f t="shared" si="9"/>
        <v>0</v>
      </c>
      <c r="H22" s="24">
        <f t="shared" si="9"/>
        <v>0</v>
      </c>
      <c r="I22" s="24">
        <f t="shared" si="9"/>
        <v>0</v>
      </c>
      <c r="J22" s="24">
        <f t="shared" si="9"/>
        <v>0</v>
      </c>
      <c r="K22" s="24">
        <f t="shared" si="9"/>
        <v>0</v>
      </c>
      <c r="L22" s="24">
        <f t="shared" si="9"/>
        <v>0</v>
      </c>
      <c r="M22" s="24">
        <f t="shared" si="9"/>
        <v>0</v>
      </c>
      <c r="N22" s="24">
        <f t="shared" si="9"/>
        <v>0</v>
      </c>
      <c r="O22" s="24">
        <f t="shared" si="9"/>
        <v>0</v>
      </c>
      <c r="P22" s="24">
        <f t="shared" si="9"/>
        <v>0</v>
      </c>
      <c r="Q22" s="24">
        <f t="shared" si="9"/>
        <v>0</v>
      </c>
      <c r="R22" s="24">
        <f t="shared" si="9"/>
        <v>0</v>
      </c>
      <c r="S22" s="24">
        <f t="shared" si="9"/>
        <v>0</v>
      </c>
      <c r="T22" s="24">
        <f t="shared" si="9"/>
        <v>0</v>
      </c>
      <c r="U22" s="24">
        <f t="shared" si="9"/>
        <v>0</v>
      </c>
      <c r="V22" s="24">
        <f t="shared" si="9"/>
        <v>0</v>
      </c>
      <c r="W22" s="24">
        <f t="shared" si="9"/>
        <v>0</v>
      </c>
      <c r="X22" s="24">
        <f t="shared" si="9"/>
        <v>0</v>
      </c>
      <c r="Y22" s="24">
        <f t="shared" si="9"/>
        <v>0</v>
      </c>
      <c r="Z22" s="24">
        <f t="shared" si="9"/>
        <v>0</v>
      </c>
      <c r="AA22" s="24">
        <f t="shared" si="9"/>
        <v>0</v>
      </c>
      <c r="AB22" s="24">
        <f t="shared" si="9"/>
        <v>0</v>
      </c>
      <c r="AC22" s="24">
        <f t="shared" si="9"/>
        <v>0</v>
      </c>
      <c r="AD22" s="24">
        <f t="shared" si="9"/>
        <v>0</v>
      </c>
      <c r="AE22" s="24">
        <f t="shared" si="9"/>
        <v>0</v>
      </c>
      <c r="AF22" s="24">
        <f t="shared" si="9"/>
        <v>0</v>
      </c>
      <c r="AG22" s="24">
        <f t="shared" si="9"/>
        <v>0</v>
      </c>
      <c r="AH22" s="24">
        <f t="shared" si="9"/>
        <v>0</v>
      </c>
      <c r="AI22" s="24">
        <f t="shared" si="9"/>
        <v>0</v>
      </c>
      <c r="AJ22" s="24">
        <f t="shared" si="9"/>
        <v>0</v>
      </c>
    </row>
    <row r="23" spans="1:36" ht="24" customHeight="1" x14ac:dyDescent="0.2">
      <c r="A23" s="3" t="s">
        <v>44</v>
      </c>
      <c r="B23" s="4">
        <f>'Total Savings'!G4</f>
        <v>0</v>
      </c>
      <c r="C23" s="4">
        <f t="shared" ref="C23:AJ23" si="10">MAX(0,B23*(1+B$10)-B39)</f>
        <v>0</v>
      </c>
      <c r="D23" s="4">
        <f t="shared" si="10"/>
        <v>0</v>
      </c>
      <c r="E23" s="4">
        <f t="shared" si="10"/>
        <v>0</v>
      </c>
      <c r="F23" s="4">
        <f t="shared" si="10"/>
        <v>0</v>
      </c>
      <c r="G23" s="4">
        <f t="shared" si="10"/>
        <v>0</v>
      </c>
      <c r="H23" s="4">
        <f t="shared" si="10"/>
        <v>0</v>
      </c>
      <c r="I23" s="4">
        <f t="shared" si="10"/>
        <v>0</v>
      </c>
      <c r="J23" s="4">
        <f t="shared" si="10"/>
        <v>0</v>
      </c>
      <c r="K23" s="4">
        <f t="shared" si="10"/>
        <v>0</v>
      </c>
      <c r="L23" s="4">
        <f t="shared" si="10"/>
        <v>0</v>
      </c>
      <c r="M23" s="4">
        <f t="shared" si="10"/>
        <v>0</v>
      </c>
      <c r="N23" s="4">
        <f t="shared" si="10"/>
        <v>0</v>
      </c>
      <c r="O23" s="4">
        <f t="shared" si="10"/>
        <v>0</v>
      </c>
      <c r="P23" s="4">
        <f t="shared" si="10"/>
        <v>0</v>
      </c>
      <c r="Q23" s="4">
        <f t="shared" si="10"/>
        <v>0</v>
      </c>
      <c r="R23" s="4">
        <f t="shared" si="10"/>
        <v>0</v>
      </c>
      <c r="S23" s="4">
        <f t="shared" si="10"/>
        <v>0</v>
      </c>
      <c r="T23" s="4">
        <f t="shared" si="10"/>
        <v>0</v>
      </c>
      <c r="U23" s="4">
        <f t="shared" si="10"/>
        <v>0</v>
      </c>
      <c r="V23" s="4">
        <f t="shared" si="10"/>
        <v>0</v>
      </c>
      <c r="W23" s="4">
        <f t="shared" si="10"/>
        <v>0</v>
      </c>
      <c r="X23" s="4">
        <f t="shared" si="10"/>
        <v>0</v>
      </c>
      <c r="Y23" s="4">
        <f t="shared" si="10"/>
        <v>0</v>
      </c>
      <c r="Z23" s="4">
        <f t="shared" si="10"/>
        <v>0</v>
      </c>
      <c r="AA23" s="4">
        <f t="shared" si="10"/>
        <v>0</v>
      </c>
      <c r="AB23" s="4">
        <f t="shared" si="10"/>
        <v>0</v>
      </c>
      <c r="AC23" s="4">
        <f t="shared" si="10"/>
        <v>0</v>
      </c>
      <c r="AD23" s="4">
        <f t="shared" si="10"/>
        <v>0</v>
      </c>
      <c r="AE23" s="4">
        <f t="shared" si="10"/>
        <v>0</v>
      </c>
      <c r="AF23" s="4">
        <f t="shared" si="10"/>
        <v>0</v>
      </c>
      <c r="AG23" s="4">
        <f t="shared" si="10"/>
        <v>0</v>
      </c>
      <c r="AH23" s="4">
        <f t="shared" si="10"/>
        <v>0</v>
      </c>
      <c r="AI23" s="4">
        <f t="shared" si="10"/>
        <v>0</v>
      </c>
      <c r="AJ23" s="4">
        <f t="shared" si="10"/>
        <v>0</v>
      </c>
    </row>
    <row r="24" spans="1:36" ht="24" customHeight="1" x14ac:dyDescent="0.2">
      <c r="A24" s="1" t="s">
        <v>70</v>
      </c>
      <c r="B24" s="4">
        <f>SUM('Total Savings'!G5)+$B$96</f>
        <v>0</v>
      </c>
      <c r="C24" s="4">
        <f t="shared" ref="C24:AJ24" si="11">MAX(0,B24*(1+B$10)-B65)</f>
        <v>0</v>
      </c>
      <c r="D24" s="4">
        <f t="shared" si="11"/>
        <v>0</v>
      </c>
      <c r="E24" s="4">
        <f t="shared" si="11"/>
        <v>0</v>
      </c>
      <c r="F24" s="4">
        <f t="shared" si="11"/>
        <v>0</v>
      </c>
      <c r="G24" s="4">
        <f t="shared" si="11"/>
        <v>0</v>
      </c>
      <c r="H24" s="4">
        <f t="shared" si="11"/>
        <v>0</v>
      </c>
      <c r="I24" s="4">
        <f t="shared" si="11"/>
        <v>0</v>
      </c>
      <c r="J24" s="4">
        <f t="shared" si="11"/>
        <v>0</v>
      </c>
      <c r="K24" s="4">
        <f t="shared" si="11"/>
        <v>0</v>
      </c>
      <c r="L24" s="4">
        <f t="shared" si="11"/>
        <v>0</v>
      </c>
      <c r="M24" s="4">
        <f t="shared" si="11"/>
        <v>0</v>
      </c>
      <c r="N24" s="4">
        <f t="shared" si="11"/>
        <v>0</v>
      </c>
      <c r="O24" s="4">
        <f t="shared" si="11"/>
        <v>0</v>
      </c>
      <c r="P24" s="4">
        <f t="shared" si="11"/>
        <v>0</v>
      </c>
      <c r="Q24" s="4">
        <f t="shared" si="11"/>
        <v>0</v>
      </c>
      <c r="R24" s="4">
        <f t="shared" si="11"/>
        <v>0</v>
      </c>
      <c r="S24" s="4">
        <f t="shared" si="11"/>
        <v>0</v>
      </c>
      <c r="T24" s="4">
        <f t="shared" si="11"/>
        <v>0</v>
      </c>
      <c r="U24" s="4">
        <f t="shared" si="11"/>
        <v>0</v>
      </c>
      <c r="V24" s="4">
        <f t="shared" si="11"/>
        <v>0</v>
      </c>
      <c r="W24" s="4">
        <f t="shared" si="11"/>
        <v>0</v>
      </c>
      <c r="X24" s="4">
        <f t="shared" si="11"/>
        <v>0</v>
      </c>
      <c r="Y24" s="4">
        <f t="shared" si="11"/>
        <v>0</v>
      </c>
      <c r="Z24" s="4">
        <f t="shared" si="11"/>
        <v>0</v>
      </c>
      <c r="AA24" s="4">
        <f t="shared" si="11"/>
        <v>0</v>
      </c>
      <c r="AB24" s="4">
        <f t="shared" si="11"/>
        <v>0</v>
      </c>
      <c r="AC24" s="4">
        <f t="shared" si="11"/>
        <v>0</v>
      </c>
      <c r="AD24" s="4">
        <f t="shared" si="11"/>
        <v>0</v>
      </c>
      <c r="AE24" s="4">
        <f t="shared" si="11"/>
        <v>0</v>
      </c>
      <c r="AF24" s="4">
        <f t="shared" si="11"/>
        <v>0</v>
      </c>
      <c r="AG24" s="4">
        <f t="shared" si="11"/>
        <v>0</v>
      </c>
      <c r="AH24" s="4">
        <f t="shared" si="11"/>
        <v>0</v>
      </c>
      <c r="AI24" s="4">
        <f t="shared" si="11"/>
        <v>0</v>
      </c>
      <c r="AJ24" s="4">
        <f t="shared" si="11"/>
        <v>0</v>
      </c>
    </row>
    <row r="25" spans="1:36" ht="24" customHeight="1" x14ac:dyDescent="0.2">
      <c r="A25" s="3" t="s">
        <v>69</v>
      </c>
      <c r="B25" s="2">
        <f>MAX(0,SUM('Total Savings'!G6:G9)+$B$90-$D$95-$B$96)</f>
        <v>0</v>
      </c>
      <c r="C25" s="4">
        <f t="shared" ref="C25:AJ25" si="12">MAX(0,B25*(1+B$10)-B66+B12)</f>
        <v>0</v>
      </c>
      <c r="D25" s="4">
        <f t="shared" si="12"/>
        <v>0</v>
      </c>
      <c r="E25" s="4">
        <f t="shared" si="12"/>
        <v>0</v>
      </c>
      <c r="F25" s="4">
        <f t="shared" si="12"/>
        <v>0</v>
      </c>
      <c r="G25" s="4">
        <f t="shared" si="12"/>
        <v>0</v>
      </c>
      <c r="H25" s="4">
        <f t="shared" si="12"/>
        <v>0</v>
      </c>
      <c r="I25" s="4">
        <f t="shared" si="12"/>
        <v>0</v>
      </c>
      <c r="J25" s="4">
        <f t="shared" si="12"/>
        <v>0</v>
      </c>
      <c r="K25" s="4">
        <f t="shared" si="12"/>
        <v>0</v>
      </c>
      <c r="L25" s="4">
        <f t="shared" si="12"/>
        <v>0</v>
      </c>
      <c r="M25" s="4">
        <f t="shared" si="12"/>
        <v>0</v>
      </c>
      <c r="N25" s="4">
        <f t="shared" si="12"/>
        <v>0</v>
      </c>
      <c r="O25" s="4">
        <f t="shared" si="12"/>
        <v>0</v>
      </c>
      <c r="P25" s="4">
        <f t="shared" si="12"/>
        <v>0</v>
      </c>
      <c r="Q25" s="4">
        <f t="shared" si="12"/>
        <v>0</v>
      </c>
      <c r="R25" s="4">
        <f t="shared" si="12"/>
        <v>0</v>
      </c>
      <c r="S25" s="4">
        <f t="shared" si="12"/>
        <v>0</v>
      </c>
      <c r="T25" s="4">
        <f t="shared" si="12"/>
        <v>0</v>
      </c>
      <c r="U25" s="4">
        <f t="shared" si="12"/>
        <v>0</v>
      </c>
      <c r="V25" s="4">
        <f t="shared" si="12"/>
        <v>0</v>
      </c>
      <c r="W25" s="4">
        <f t="shared" si="12"/>
        <v>0</v>
      </c>
      <c r="X25" s="4">
        <f t="shared" si="12"/>
        <v>0</v>
      </c>
      <c r="Y25" s="4">
        <f t="shared" si="12"/>
        <v>0</v>
      </c>
      <c r="Z25" s="4">
        <f t="shared" si="12"/>
        <v>0</v>
      </c>
      <c r="AA25" s="4">
        <f t="shared" si="12"/>
        <v>0</v>
      </c>
      <c r="AB25" s="4">
        <f t="shared" si="12"/>
        <v>0</v>
      </c>
      <c r="AC25" s="4">
        <f t="shared" si="12"/>
        <v>0</v>
      </c>
      <c r="AD25" s="4">
        <f t="shared" si="12"/>
        <v>0</v>
      </c>
      <c r="AE25" s="4">
        <f t="shared" si="12"/>
        <v>0</v>
      </c>
      <c r="AF25" s="4">
        <f t="shared" si="12"/>
        <v>0</v>
      </c>
      <c r="AG25" s="4">
        <f t="shared" si="12"/>
        <v>0</v>
      </c>
      <c r="AH25" s="4">
        <f t="shared" si="12"/>
        <v>0</v>
      </c>
      <c r="AI25" s="4">
        <f t="shared" si="12"/>
        <v>0</v>
      </c>
      <c r="AJ25" s="4">
        <f t="shared" si="12"/>
        <v>0</v>
      </c>
    </row>
    <row r="26" spans="1:36" ht="24" customHeight="1" x14ac:dyDescent="0.2">
      <c r="A26" s="1"/>
      <c r="B26" s="2"/>
    </row>
    <row r="27" spans="1:36" ht="24" customHeight="1" x14ac:dyDescent="0.2">
      <c r="A27" s="22" t="s">
        <v>272</v>
      </c>
      <c r="B27" s="24">
        <f>SUM(B28:B33)</f>
        <v>36733</v>
      </c>
      <c r="C27" s="24">
        <f t="shared" ref="C27:AJ27" ca="1" si="13">SUM(C28:C33)</f>
        <v>38223.984999999993</v>
      </c>
      <c r="D27" s="24">
        <f t="shared" ca="1" si="13"/>
        <v>39778.014324999996</v>
      </c>
      <c r="E27" s="24">
        <f t="shared" ca="1" si="13"/>
        <v>41397.82371962499</v>
      </c>
      <c r="F27" s="24">
        <f t="shared" ca="1" si="13"/>
        <v>43086.269505758108</v>
      </c>
      <c r="G27" s="24">
        <f t="shared" ca="1" si="13"/>
        <v>26849.099019843306</v>
      </c>
      <c r="H27" s="24">
        <f t="shared" ca="1" si="13"/>
        <v>27874.020345247976</v>
      </c>
      <c r="I27" s="24">
        <f t="shared" ca="1" si="13"/>
        <v>28940.480927033641</v>
      </c>
      <c r="J27" s="24">
        <f t="shared" ca="1" si="13"/>
        <v>30050.235476655904</v>
      </c>
      <c r="K27" s="24">
        <f t="shared" ca="1" si="13"/>
        <v>31205.11480370881</v>
      </c>
      <c r="L27" s="24">
        <f t="shared" ca="1" si="13"/>
        <v>32407.029168744182</v>
      </c>
      <c r="M27" s="24">
        <f t="shared" ca="1" si="13"/>
        <v>33657.971785177855</v>
      </c>
      <c r="N27" s="24">
        <f t="shared" ca="1" si="13"/>
        <v>34960.022476947051</v>
      </c>
      <c r="O27" s="24">
        <f t="shared" ca="1" si="13"/>
        <v>36315.351498881762</v>
      </c>
      <c r="P27" s="24">
        <f t="shared" ca="1" si="13"/>
        <v>37726.223527065347</v>
      </c>
      <c r="Q27" s="24">
        <f t="shared" ca="1" si="13"/>
        <v>39195.001826785519</v>
      </c>
      <c r="R27" s="24">
        <f t="shared" ca="1" si="13"/>
        <v>40724.152606018179</v>
      </c>
      <c r="S27" s="24">
        <f t="shared" ca="1" si="13"/>
        <v>42316.249562741978</v>
      </c>
      <c r="T27" s="24">
        <f t="shared" ca="1" si="13"/>
        <v>43721.313922486224</v>
      </c>
      <c r="U27" s="24">
        <f t="shared" ca="1" si="13"/>
        <v>45187.359927501348</v>
      </c>
      <c r="V27" s="24">
        <f t="shared" ca="1" si="13"/>
        <v>46717.121643695427</v>
      </c>
      <c r="W27" s="24">
        <f t="shared" ca="1" si="13"/>
        <v>48313.456124455777</v>
      </c>
      <c r="X27" s="24">
        <f t="shared" ca="1" si="13"/>
        <v>49979.348944880941</v>
      </c>
      <c r="Y27" s="24">
        <f t="shared" ca="1" si="13"/>
        <v>51717.919985051936</v>
      </c>
      <c r="Z27" s="24">
        <f t="shared" ca="1" si="13"/>
        <v>53532.429473550052</v>
      </c>
      <c r="AA27" s="24">
        <f t="shared" ca="1" si="13"/>
        <v>55426.284302931854</v>
      </c>
      <c r="AB27" s="24">
        <f t="shared" ca="1" si="13"/>
        <v>57403.044629399672</v>
      </c>
      <c r="AC27" s="24">
        <f t="shared" ca="1" si="13"/>
        <v>59466.430769456274</v>
      </c>
      <c r="AD27" s="24">
        <f t="shared" ca="1" si="13"/>
        <v>61620.330406908266</v>
      </c>
      <c r="AE27" s="24">
        <f t="shared" ca="1" si="13"/>
        <v>63868.806124183284</v>
      </c>
      <c r="AF27" s="24">
        <f t="shared" ca="1" si="13"/>
        <v>66216.103272556051</v>
      </c>
      <c r="AG27" s="24">
        <f t="shared" ca="1" si="13"/>
        <v>68666.65819653307</v>
      </c>
      <c r="AH27" s="24">
        <f t="shared" ca="1" si="13"/>
        <v>71225.106828334276</v>
      </c>
      <c r="AI27" s="24">
        <f t="shared" ca="1" si="13"/>
        <v>73896.293669124861</v>
      </c>
      <c r="AJ27" s="24">
        <f t="shared" ca="1" si="13"/>
        <v>76685.28117440184</v>
      </c>
    </row>
    <row r="28" spans="1:36" ht="24" customHeight="1" x14ac:dyDescent="0.2">
      <c r="A28" s="1" t="s">
        <v>54</v>
      </c>
      <c r="B28" s="2">
        <f>ROUND('Total Expenses'!$B$3*12-B92*12,0)</f>
        <v>8100</v>
      </c>
      <c r="C28" s="2">
        <f>B28*(1+B$7)*CHOOSE(MATCH(Assumptions!$D$17,Tables!$L$52:$L$53,0),1,IF(Projections!C$1&gt;=(Tables!$O$53-1),(1-Tables!$M$53),1))</f>
        <v>8302.5</v>
      </c>
      <c r="D28" s="2">
        <f>C28*(1+C$7)*CHOOSE(MATCH(Assumptions!$D$17,Tables!$L$52:$L$53,0),1,IF(Projections!D$1&gt;=(Tables!$O$53-1),(1-Tables!$M$53),1))</f>
        <v>8510.0625</v>
      </c>
      <c r="E28" s="2">
        <f>D28*(1+D$7)*CHOOSE(MATCH(Assumptions!$D$17,Tables!$L$52:$L$53,0),1,IF(Projections!E$1&gt;=(Tables!$O$53-1),(1-Tables!$M$53),1))</f>
        <v>8722.8140624999996</v>
      </c>
      <c r="F28" s="2">
        <f>E28*(1+E$7)*CHOOSE(MATCH(Assumptions!$D$17,Tables!$L$52:$L$53,0),1,IF(Projections!F$1&gt;=(Tables!$O$53-1),(1-Tables!$M$53),1))</f>
        <v>8940.8844140624988</v>
      </c>
      <c r="G28" s="2">
        <f>F28*(1+F$7)*CHOOSE(MATCH(Assumptions!$D$17,Tables!$L$52:$L$53,0),1,IF(Projections!G$1&gt;=(Tables!$O$53-1),(1-Tables!$M$53),1))</f>
        <v>9164.4065244140602</v>
      </c>
      <c r="H28" s="2">
        <f>G28*(1+G$7)*CHOOSE(MATCH(Assumptions!$D$17,Tables!$L$52:$L$53,0),1,IF(Projections!H$1&gt;=(Tables!$O$53-1),(1-Tables!$M$53),1))</f>
        <v>9393.5166875244104</v>
      </c>
      <c r="I28" s="2">
        <f>H28*(1+H$7)*CHOOSE(MATCH(Assumptions!$D$17,Tables!$L$52:$L$53,0),1,IF(Projections!I$1&gt;=(Tables!$O$53-1),(1-Tables!$M$53),1))</f>
        <v>9628.3546047125201</v>
      </c>
      <c r="J28" s="2">
        <f>I28*(1+I$7)*CHOOSE(MATCH(Assumptions!$D$17,Tables!$L$52:$L$53,0),1,IF(Projections!J$1&gt;=(Tables!$O$53-1),(1-Tables!$M$53),1))</f>
        <v>9869.0634698303329</v>
      </c>
      <c r="K28" s="2">
        <f>J28*(1+J$7)*CHOOSE(MATCH(Assumptions!$D$17,Tables!$L$52:$L$53,0),1,IF(Projections!K$1&gt;=(Tables!$O$53-1),(1-Tables!$M$53),1))</f>
        <v>10115.79005657609</v>
      </c>
      <c r="L28" s="2">
        <f>K28*(1+K$7)*CHOOSE(MATCH(Assumptions!$D$17,Tables!$L$52:$L$53,0),1,IF(Projections!L$1&gt;=(Tables!$O$53-1),(1-Tables!$M$53),1))</f>
        <v>10368.684807990492</v>
      </c>
      <c r="M28" s="2">
        <f>L28*(1+L$7)*CHOOSE(MATCH(Assumptions!$D$17,Tables!$L$52:$L$53,0),1,IF(Projections!M$1&gt;=(Tables!$O$53-1),(1-Tables!$M$53),1))</f>
        <v>10627.901928190253</v>
      </c>
      <c r="N28" s="2">
        <f>M28*(1+M$7)*CHOOSE(MATCH(Assumptions!$D$17,Tables!$L$52:$L$53,0),1,IF(Projections!N$1&gt;=(Tables!$O$53-1),(1-Tables!$M$53),1))</f>
        <v>10893.599476395008</v>
      </c>
      <c r="O28" s="2">
        <f>N28*(1+N$7)*CHOOSE(MATCH(Assumptions!$D$17,Tables!$L$52:$L$53,0),1,IF(Projections!O$1&gt;=(Tables!$O$53-1),(1-Tables!$M$53),1))</f>
        <v>11165.939463304881</v>
      </c>
      <c r="P28" s="2">
        <f>O28*(1+O$7)*CHOOSE(MATCH(Assumptions!$D$17,Tables!$L$52:$L$53,0),1,IF(Projections!P$1&gt;=(Tables!$O$53-1),(1-Tables!$M$53),1))</f>
        <v>11445.087949887502</v>
      </c>
      <c r="Q28" s="2">
        <f>P28*(1+P$7)*CHOOSE(MATCH(Assumptions!$D$17,Tables!$L$52:$L$53,0),1,IF(Projections!Q$1&gt;=(Tables!$O$53-1),(1-Tables!$M$53),1))</f>
        <v>11731.215148634688</v>
      </c>
      <c r="R28" s="2">
        <f>Q28*(1+Q$7)*CHOOSE(MATCH(Assumptions!$D$17,Tables!$L$52:$L$53,0),1,IF(Projections!R$1&gt;=(Tables!$O$53-1),(1-Tables!$M$53),1))</f>
        <v>12024.495527350555</v>
      </c>
      <c r="S28" s="2">
        <f>R28*(1+R$7)*CHOOSE(MATCH(Assumptions!$D$17,Tables!$L$52:$L$53,0),1,IF(Projections!S$1&gt;=(Tables!$O$53-1),(1-Tables!$M$53),1))</f>
        <v>12325.107915534318</v>
      </c>
      <c r="T28" s="2">
        <f>S28*(1+S$7)*CHOOSE(MATCH(Assumptions!$D$17,Tables!$L$52:$L$53,0),1,IF(Projections!T$1&gt;=(Tables!$O$53-1),(1-Tables!$M$53),1))</f>
        <v>12380.57090115422</v>
      </c>
      <c r="U28" s="2">
        <f>T28*(1+T$7)*CHOOSE(MATCH(Assumptions!$D$17,Tables!$L$52:$L$53,0),1,IF(Projections!U$1&gt;=(Tables!$O$53-1),(1-Tables!$M$53),1))</f>
        <v>12436.283470209413</v>
      </c>
      <c r="V28" s="2">
        <f>U28*(1+U$7)*CHOOSE(MATCH(Assumptions!$D$17,Tables!$L$52:$L$53,0),1,IF(Projections!V$1&gt;=(Tables!$O$53-1),(1-Tables!$M$53),1))</f>
        <v>12492.246745825354</v>
      </c>
      <c r="W28" s="2">
        <f>V28*(1+V$7)*CHOOSE(MATCH(Assumptions!$D$17,Tables!$L$52:$L$53,0),1,IF(Projections!W$1&gt;=(Tables!$O$53-1),(1-Tables!$M$53),1))</f>
        <v>12548.461856181568</v>
      </c>
      <c r="X28" s="2">
        <f>W28*(1+W$7)*CHOOSE(MATCH(Assumptions!$D$17,Tables!$L$52:$L$53,0),1,IF(Projections!X$1&gt;=(Tables!$O$53-1),(1-Tables!$M$53),1))</f>
        <v>12604.929934534384</v>
      </c>
      <c r="Y28" s="2">
        <f>X28*(1+X$7)*CHOOSE(MATCH(Assumptions!$D$17,Tables!$L$52:$L$53,0),1,IF(Projections!Y$1&gt;=(Tables!$O$53-1),(1-Tables!$M$53),1))</f>
        <v>12661.652119239789</v>
      </c>
      <c r="Z28" s="2">
        <f>Y28*(1+Y$7)*CHOOSE(MATCH(Assumptions!$D$17,Tables!$L$52:$L$53,0),1,IF(Projections!Z$1&gt;=(Tables!$O$53-1),(1-Tables!$M$53),1))</f>
        <v>12718.629553776365</v>
      </c>
      <c r="AA28" s="2">
        <f>Z28*(1+Z$7)*CHOOSE(MATCH(Assumptions!$D$17,Tables!$L$52:$L$53,0),1,IF(Projections!AA$1&gt;=(Tables!$O$53-1),(1-Tables!$M$53),1))</f>
        <v>12775.863386768358</v>
      </c>
      <c r="AB28" s="2">
        <f>AA28*(1+AA$7)*CHOOSE(MATCH(Assumptions!$D$17,Tables!$L$52:$L$53,0),1,IF(Projections!AB$1&gt;=(Tables!$O$53-1),(1-Tables!$M$53),1))</f>
        <v>12833.354772008815</v>
      </c>
      <c r="AC28" s="2">
        <f>AB28*(1+AB$7)*CHOOSE(MATCH(Assumptions!$D$17,Tables!$L$52:$L$53,0),1,IF(Projections!AC$1&gt;=(Tables!$O$53-1),(1-Tables!$M$53),1))</f>
        <v>12891.104868482853</v>
      </c>
      <c r="AD28" s="2">
        <f>AC28*(1+AC$7)*CHOOSE(MATCH(Assumptions!$D$17,Tables!$L$52:$L$53,0),1,IF(Projections!AD$1&gt;=(Tables!$O$53-1),(1-Tables!$M$53),1))</f>
        <v>12949.114840391025</v>
      </c>
      <c r="AE28" s="2">
        <f>AD28*(1+AD$7)*CHOOSE(MATCH(Assumptions!$D$17,Tables!$L$52:$L$53,0),1,IF(Projections!AE$1&gt;=(Tables!$O$53-1),(1-Tables!$M$53),1))</f>
        <v>13007.385857172783</v>
      </c>
      <c r="AF28" s="2">
        <f>AE28*(1+AE$7)*CHOOSE(MATCH(Assumptions!$D$17,Tables!$L$52:$L$53,0),1,IF(Projections!AF$1&gt;=(Tables!$O$53-1),(1-Tables!$M$53),1))</f>
        <v>13065.919093530059</v>
      </c>
      <c r="AG28" s="2">
        <f>AF28*(1+AF$7)*CHOOSE(MATCH(Assumptions!$D$17,Tables!$L$52:$L$53,0),1,IF(Projections!AG$1&gt;=(Tables!$O$53-1),(1-Tables!$M$53),1))</f>
        <v>13124.715729450943</v>
      </c>
      <c r="AH28" s="2">
        <f>AG28*(1+AG$7)*CHOOSE(MATCH(Assumptions!$D$17,Tables!$L$52:$L$53,0),1,IF(Projections!AH$1&gt;=(Tables!$O$53-1),(1-Tables!$M$53),1))</f>
        <v>13183.776950233472</v>
      </c>
      <c r="AI28" s="2">
        <f>AH28*(1+AH$7)*CHOOSE(MATCH(Assumptions!$D$17,Tables!$L$52:$L$53,0),1,IF(Projections!AI$1&gt;=(Tables!$O$53-1),(1-Tables!$M$53),1))</f>
        <v>13243.103946509522</v>
      </c>
      <c r="AJ28" s="2">
        <f>AI28*(1+AI$7)*CHOOSE(MATCH(Assumptions!$D$17,Tables!$L$52:$L$53,0),1,IF(Projections!AJ$1&gt;=(Tables!$O$53-1),(1-Tables!$M$53),1))</f>
        <v>13302.697914268814</v>
      </c>
    </row>
    <row r="29" spans="1:36" ht="24" customHeight="1" x14ac:dyDescent="0.2">
      <c r="A29" s="1" t="s">
        <v>144</v>
      </c>
      <c r="B29" s="2">
        <f>B35</f>
        <v>28633</v>
      </c>
      <c r="C29" s="2">
        <f t="shared" ref="C29:AJ29" si="14">C35</f>
        <v>29921.484999999993</v>
      </c>
      <c r="D29" s="2">
        <f t="shared" si="14"/>
        <v>31267.951824999993</v>
      </c>
      <c r="E29" s="2">
        <f t="shared" si="14"/>
        <v>32675.009657124989</v>
      </c>
      <c r="F29" s="2">
        <f t="shared" si="14"/>
        <v>34145.385091695607</v>
      </c>
      <c r="G29" s="2">
        <f t="shared" si="14"/>
        <v>17684.692495429248</v>
      </c>
      <c r="H29" s="2">
        <f t="shared" si="14"/>
        <v>18480.503657723566</v>
      </c>
      <c r="I29" s="2">
        <f t="shared" si="14"/>
        <v>19312.126322321121</v>
      </c>
      <c r="J29" s="2">
        <f t="shared" si="14"/>
        <v>20181.172006825571</v>
      </c>
      <c r="K29" s="2">
        <f t="shared" si="14"/>
        <v>21089.324747132719</v>
      </c>
      <c r="L29" s="2">
        <f t="shared" si="14"/>
        <v>22038.34436075369</v>
      </c>
      <c r="M29" s="2">
        <f t="shared" si="14"/>
        <v>23030.069856987604</v>
      </c>
      <c r="N29" s="2">
        <f t="shared" si="14"/>
        <v>24066.423000552048</v>
      </c>
      <c r="O29" s="2">
        <f t="shared" si="14"/>
        <v>25149.412035576879</v>
      </c>
      <c r="P29" s="2">
        <f t="shared" si="14"/>
        <v>26281.135577177844</v>
      </c>
      <c r="Q29" s="2">
        <f t="shared" si="14"/>
        <v>27463.786678150835</v>
      </c>
      <c r="R29" s="2">
        <f t="shared" si="14"/>
        <v>28699.657078667624</v>
      </c>
      <c r="S29" s="2">
        <f t="shared" si="14"/>
        <v>29991.14164720766</v>
      </c>
      <c r="T29" s="2">
        <f t="shared" si="14"/>
        <v>31340.743021332004</v>
      </c>
      <c r="U29" s="2">
        <f t="shared" si="14"/>
        <v>32751.076457291936</v>
      </c>
      <c r="V29" s="2">
        <f t="shared" si="14"/>
        <v>34224.874897870075</v>
      </c>
      <c r="W29" s="2">
        <f t="shared" si="14"/>
        <v>35764.994268274211</v>
      </c>
      <c r="X29" s="2">
        <f t="shared" si="14"/>
        <v>37374.419010346559</v>
      </c>
      <c r="Y29" s="2">
        <f t="shared" si="14"/>
        <v>39056.267865812144</v>
      </c>
      <c r="Z29" s="2">
        <f t="shared" si="14"/>
        <v>40813.799919773686</v>
      </c>
      <c r="AA29" s="2">
        <f t="shared" si="14"/>
        <v>42650.420916163494</v>
      </c>
      <c r="AB29" s="2">
        <f t="shared" si="14"/>
        <v>44569.689857390855</v>
      </c>
      <c r="AC29" s="2">
        <f t="shared" si="14"/>
        <v>46575.325900973425</v>
      </c>
      <c r="AD29" s="2">
        <f t="shared" si="14"/>
        <v>48671.215566517239</v>
      </c>
      <c r="AE29" s="2">
        <f t="shared" si="14"/>
        <v>50861.420267010501</v>
      </c>
      <c r="AF29" s="2">
        <f t="shared" si="14"/>
        <v>53150.184179025986</v>
      </c>
      <c r="AG29" s="2">
        <f t="shared" si="14"/>
        <v>55541.942467082124</v>
      </c>
      <c r="AH29" s="2">
        <f t="shared" si="14"/>
        <v>58041.329878100805</v>
      </c>
      <c r="AI29" s="2">
        <f t="shared" si="14"/>
        <v>60653.189722615338</v>
      </c>
      <c r="AJ29" s="2">
        <f t="shared" si="14"/>
        <v>63382.583260133026</v>
      </c>
    </row>
    <row r="30" spans="1:36" ht="24" customHeight="1" x14ac:dyDescent="0.2">
      <c r="A30" s="1" t="s">
        <v>136</v>
      </c>
      <c r="B30" s="2">
        <f>B75</f>
        <v>0</v>
      </c>
      <c r="C30" s="2">
        <f t="shared" ref="C30:AJ30" si="15">C75</f>
        <v>0</v>
      </c>
      <c r="D30" s="2">
        <f t="shared" si="15"/>
        <v>0</v>
      </c>
      <c r="E30" s="2">
        <f t="shared" si="15"/>
        <v>0</v>
      </c>
      <c r="F30" s="2">
        <f t="shared" si="15"/>
        <v>0</v>
      </c>
      <c r="G30" s="2">
        <f t="shared" si="15"/>
        <v>0</v>
      </c>
      <c r="H30" s="2">
        <f t="shared" si="15"/>
        <v>0</v>
      </c>
      <c r="I30" s="2">
        <f t="shared" si="15"/>
        <v>0</v>
      </c>
      <c r="J30" s="2">
        <f t="shared" si="15"/>
        <v>0</v>
      </c>
      <c r="K30" s="2">
        <f t="shared" si="15"/>
        <v>0</v>
      </c>
      <c r="L30" s="2">
        <f t="shared" si="15"/>
        <v>0</v>
      </c>
      <c r="M30" s="2">
        <f t="shared" si="15"/>
        <v>0</v>
      </c>
      <c r="N30" s="2">
        <f t="shared" si="15"/>
        <v>0</v>
      </c>
      <c r="O30" s="2">
        <f t="shared" si="15"/>
        <v>0</v>
      </c>
      <c r="P30" s="2">
        <f t="shared" si="15"/>
        <v>0</v>
      </c>
      <c r="Q30" s="2">
        <f t="shared" si="15"/>
        <v>0</v>
      </c>
      <c r="R30" s="2">
        <f t="shared" si="15"/>
        <v>0</v>
      </c>
      <c r="S30" s="2">
        <f t="shared" si="15"/>
        <v>0</v>
      </c>
      <c r="T30" s="2">
        <f t="shared" si="15"/>
        <v>0</v>
      </c>
      <c r="U30" s="2">
        <f t="shared" si="15"/>
        <v>0</v>
      </c>
      <c r="V30" s="2">
        <f t="shared" si="15"/>
        <v>0</v>
      </c>
      <c r="W30" s="2">
        <f t="shared" si="15"/>
        <v>0</v>
      </c>
      <c r="X30" s="2">
        <f t="shared" si="15"/>
        <v>0</v>
      </c>
      <c r="Y30" s="2">
        <f t="shared" si="15"/>
        <v>0</v>
      </c>
      <c r="Z30" s="2">
        <f t="shared" si="15"/>
        <v>0</v>
      </c>
      <c r="AA30" s="2">
        <f t="shared" si="15"/>
        <v>0</v>
      </c>
      <c r="AB30" s="2">
        <f t="shared" si="15"/>
        <v>0</v>
      </c>
      <c r="AC30" s="2">
        <f t="shared" si="15"/>
        <v>0</v>
      </c>
      <c r="AD30" s="2">
        <f t="shared" si="15"/>
        <v>0</v>
      </c>
      <c r="AE30" s="2">
        <f t="shared" si="15"/>
        <v>0</v>
      </c>
      <c r="AF30" s="2">
        <f t="shared" si="15"/>
        <v>0</v>
      </c>
      <c r="AG30" s="2">
        <f t="shared" si="15"/>
        <v>0</v>
      </c>
      <c r="AH30" s="2">
        <f t="shared" si="15"/>
        <v>0</v>
      </c>
      <c r="AI30" s="2">
        <f t="shared" si="15"/>
        <v>0</v>
      </c>
      <c r="AJ30" s="2">
        <f t="shared" si="15"/>
        <v>0</v>
      </c>
    </row>
    <row r="31" spans="1:36" ht="24" customHeight="1" x14ac:dyDescent="0.2">
      <c r="A31" s="1" t="s">
        <v>137</v>
      </c>
      <c r="B31" s="2">
        <f>'Expenses (1)'!$B$23*'Expenses (1)'!$B$22</f>
        <v>0</v>
      </c>
      <c r="C31" s="2">
        <f t="shared" ref="C31:AJ31" si="16">B31*(1+B7)</f>
        <v>0</v>
      </c>
      <c r="D31" s="2">
        <f t="shared" si="16"/>
        <v>0</v>
      </c>
      <c r="E31" s="2">
        <f t="shared" si="16"/>
        <v>0</v>
      </c>
      <c r="F31" s="2">
        <f t="shared" si="16"/>
        <v>0</v>
      </c>
      <c r="G31" s="2">
        <f t="shared" si="16"/>
        <v>0</v>
      </c>
      <c r="H31" s="2">
        <f t="shared" si="16"/>
        <v>0</v>
      </c>
      <c r="I31" s="2">
        <f t="shared" si="16"/>
        <v>0</v>
      </c>
      <c r="J31" s="2">
        <f t="shared" si="16"/>
        <v>0</v>
      </c>
      <c r="K31" s="2">
        <f t="shared" si="16"/>
        <v>0</v>
      </c>
      <c r="L31" s="2">
        <f t="shared" si="16"/>
        <v>0</v>
      </c>
      <c r="M31" s="2">
        <f t="shared" si="16"/>
        <v>0</v>
      </c>
      <c r="N31" s="2">
        <f t="shared" si="16"/>
        <v>0</v>
      </c>
      <c r="O31" s="2">
        <f t="shared" si="16"/>
        <v>0</v>
      </c>
      <c r="P31" s="2">
        <f t="shared" si="16"/>
        <v>0</v>
      </c>
      <c r="Q31" s="2">
        <f t="shared" si="16"/>
        <v>0</v>
      </c>
      <c r="R31" s="2">
        <f t="shared" si="16"/>
        <v>0</v>
      </c>
      <c r="S31" s="2">
        <f t="shared" si="16"/>
        <v>0</v>
      </c>
      <c r="T31" s="2">
        <f t="shared" si="16"/>
        <v>0</v>
      </c>
      <c r="U31" s="2">
        <f t="shared" si="16"/>
        <v>0</v>
      </c>
      <c r="V31" s="2">
        <f t="shared" si="16"/>
        <v>0</v>
      </c>
      <c r="W31" s="2">
        <f t="shared" si="16"/>
        <v>0</v>
      </c>
      <c r="X31" s="2">
        <f t="shared" si="16"/>
        <v>0</v>
      </c>
      <c r="Y31" s="2">
        <f t="shared" si="16"/>
        <v>0</v>
      </c>
      <c r="Z31" s="2">
        <f t="shared" si="16"/>
        <v>0</v>
      </c>
      <c r="AA31" s="2">
        <f t="shared" si="16"/>
        <v>0</v>
      </c>
      <c r="AB31" s="2">
        <f t="shared" si="16"/>
        <v>0</v>
      </c>
      <c r="AC31" s="2">
        <f t="shared" si="16"/>
        <v>0</v>
      </c>
      <c r="AD31" s="2">
        <f t="shared" si="16"/>
        <v>0</v>
      </c>
      <c r="AE31" s="2">
        <f t="shared" si="16"/>
        <v>0</v>
      </c>
      <c r="AF31" s="2">
        <f t="shared" si="16"/>
        <v>0</v>
      </c>
      <c r="AG31" s="2">
        <f t="shared" si="16"/>
        <v>0</v>
      </c>
      <c r="AH31" s="2">
        <f t="shared" si="16"/>
        <v>0</v>
      </c>
      <c r="AI31" s="2">
        <f t="shared" si="16"/>
        <v>0</v>
      </c>
      <c r="AJ31" s="2">
        <f t="shared" si="16"/>
        <v>0</v>
      </c>
    </row>
    <row r="32" spans="1:36" ht="24" customHeight="1" x14ac:dyDescent="0.2">
      <c r="A32" s="1" t="s">
        <v>218</v>
      </c>
      <c r="B32" s="2"/>
      <c r="C32" s="2">
        <f ca="1">'Expenses (1)'!$B$24*Projections!B48</f>
        <v>0</v>
      </c>
      <c r="D32" s="2">
        <f ca="1">'Expenses (1)'!$B$24*Projections!C48</f>
        <v>0</v>
      </c>
      <c r="E32" s="2">
        <f ca="1">'Expenses (1)'!$B$24*Projections!D48</f>
        <v>0</v>
      </c>
      <c r="F32" s="2">
        <f ca="1">'Expenses (1)'!$B$24*Projections!E48</f>
        <v>0</v>
      </c>
      <c r="G32" s="2">
        <f ca="1">'Expenses (1)'!$B$24*Projections!F48</f>
        <v>0</v>
      </c>
      <c r="H32" s="2">
        <f ca="1">'Expenses (1)'!$B$24*Projections!G48</f>
        <v>0</v>
      </c>
      <c r="I32" s="2">
        <f ca="1">'Expenses (1)'!$B$24*Projections!H48</f>
        <v>0</v>
      </c>
      <c r="J32" s="2">
        <f ca="1">'Expenses (1)'!$B$24*Projections!I48</f>
        <v>0</v>
      </c>
      <c r="K32" s="2">
        <f ca="1">'Expenses (1)'!$B$24*Projections!J48</f>
        <v>0</v>
      </c>
      <c r="L32" s="2">
        <f ca="1">'Expenses (1)'!$B$24*Projections!K48</f>
        <v>0</v>
      </c>
      <c r="M32" s="2">
        <f ca="1">'Expenses (1)'!$B$24*Projections!L48</f>
        <v>0</v>
      </c>
      <c r="N32" s="2">
        <f ca="1">'Expenses (1)'!$B$24*Projections!M48</f>
        <v>0</v>
      </c>
      <c r="O32" s="2">
        <f ca="1">'Expenses (1)'!$B$24*Projections!N48</f>
        <v>0</v>
      </c>
      <c r="P32" s="2">
        <f ca="1">'Expenses (1)'!$B$24*Projections!O48</f>
        <v>0</v>
      </c>
      <c r="Q32" s="2">
        <f ca="1">'Expenses (1)'!$B$24*Projections!P48</f>
        <v>0</v>
      </c>
      <c r="R32" s="2">
        <f ca="1">'Expenses (1)'!$B$24*Projections!Q48</f>
        <v>0</v>
      </c>
      <c r="S32" s="2">
        <f ca="1">'Expenses (1)'!$B$24*Projections!R48</f>
        <v>0</v>
      </c>
      <c r="T32" s="2">
        <f ca="1">'Expenses (1)'!$B$24*Projections!S48</f>
        <v>0</v>
      </c>
      <c r="U32" s="2">
        <f ca="1">'Expenses (1)'!$B$24*Projections!T48</f>
        <v>0</v>
      </c>
      <c r="V32" s="2">
        <f ca="1">'Expenses (1)'!$B$24*Projections!U48</f>
        <v>0</v>
      </c>
      <c r="W32" s="2">
        <f ca="1">'Expenses (1)'!$B$24*Projections!V48</f>
        <v>0</v>
      </c>
      <c r="X32" s="2">
        <f ca="1">'Expenses (1)'!$B$24*Projections!W48</f>
        <v>0</v>
      </c>
      <c r="Y32" s="2">
        <f ca="1">'Expenses (1)'!$B$24*Projections!X48</f>
        <v>0</v>
      </c>
      <c r="Z32" s="2">
        <f ca="1">'Expenses (1)'!$B$24*Projections!Y48</f>
        <v>0</v>
      </c>
      <c r="AA32" s="2">
        <f ca="1">'Expenses (1)'!$B$24*Projections!Z48</f>
        <v>0</v>
      </c>
      <c r="AB32" s="2">
        <f ca="1">'Expenses (1)'!$B$24*Projections!AA48</f>
        <v>0</v>
      </c>
      <c r="AC32" s="2">
        <f ca="1">'Expenses (1)'!$B$24*Projections!AB48</f>
        <v>0</v>
      </c>
      <c r="AD32" s="2">
        <f ca="1">'Expenses (1)'!$B$24*Projections!AC48</f>
        <v>0</v>
      </c>
      <c r="AE32" s="2">
        <f ca="1">'Expenses (1)'!$B$24*Projections!AD48</f>
        <v>0</v>
      </c>
      <c r="AF32" s="2">
        <f ca="1">'Expenses (1)'!$B$24*Projections!AE48</f>
        <v>0</v>
      </c>
      <c r="AG32" s="2">
        <f ca="1">'Expenses (1)'!$B$24*Projections!AF48</f>
        <v>0</v>
      </c>
      <c r="AH32" s="2">
        <f ca="1">'Expenses (1)'!$B$24*Projections!AG48</f>
        <v>0</v>
      </c>
      <c r="AI32" s="2">
        <f ca="1">'Expenses (1)'!$B$24*Projections!AH48</f>
        <v>0</v>
      </c>
      <c r="AJ32" s="2">
        <f ca="1">'Expenses (1)'!$B$24*Projections!AI48</f>
        <v>0</v>
      </c>
    </row>
    <row r="33" spans="1:36" ht="24" customHeight="1" x14ac:dyDescent="0.2">
      <c r="A33" s="1" t="s">
        <v>219</v>
      </c>
      <c r="B33" s="2"/>
      <c r="C33" s="2">
        <f ca="1">B55</f>
        <v>0</v>
      </c>
      <c r="D33" s="2">
        <f t="shared" ref="D33:AJ33" ca="1" si="17">C55</f>
        <v>0</v>
      </c>
      <c r="E33" s="2">
        <f t="shared" ca="1" si="17"/>
        <v>0</v>
      </c>
      <c r="F33" s="2">
        <f t="shared" ca="1" si="17"/>
        <v>0</v>
      </c>
      <c r="G33" s="2">
        <f t="shared" ca="1" si="17"/>
        <v>0</v>
      </c>
      <c r="H33" s="2">
        <f t="shared" ca="1" si="17"/>
        <v>0</v>
      </c>
      <c r="I33" s="2">
        <f t="shared" ca="1" si="17"/>
        <v>0</v>
      </c>
      <c r="J33" s="2">
        <f t="shared" ca="1" si="17"/>
        <v>0</v>
      </c>
      <c r="K33" s="2">
        <f t="shared" ca="1" si="17"/>
        <v>0</v>
      </c>
      <c r="L33" s="2">
        <f t="shared" ca="1" si="17"/>
        <v>0</v>
      </c>
      <c r="M33" s="2">
        <f t="shared" ca="1" si="17"/>
        <v>0</v>
      </c>
      <c r="N33" s="2">
        <f t="shared" ca="1" si="17"/>
        <v>0</v>
      </c>
      <c r="O33" s="2">
        <f t="shared" ca="1" si="17"/>
        <v>0</v>
      </c>
      <c r="P33" s="2">
        <f t="shared" ca="1" si="17"/>
        <v>0</v>
      </c>
      <c r="Q33" s="2">
        <f t="shared" ca="1" si="17"/>
        <v>0</v>
      </c>
      <c r="R33" s="2">
        <f t="shared" ca="1" si="17"/>
        <v>0</v>
      </c>
      <c r="S33" s="2">
        <f t="shared" ca="1" si="17"/>
        <v>0</v>
      </c>
      <c r="T33" s="2">
        <f t="shared" ca="1" si="17"/>
        <v>0</v>
      </c>
      <c r="U33" s="2">
        <f t="shared" ca="1" si="17"/>
        <v>0</v>
      </c>
      <c r="V33" s="2">
        <f t="shared" ca="1" si="17"/>
        <v>0</v>
      </c>
      <c r="W33" s="2">
        <f t="shared" ca="1" si="17"/>
        <v>0</v>
      </c>
      <c r="X33" s="2">
        <f t="shared" ca="1" si="17"/>
        <v>0</v>
      </c>
      <c r="Y33" s="2">
        <f t="shared" ca="1" si="17"/>
        <v>0</v>
      </c>
      <c r="Z33" s="2">
        <f t="shared" ca="1" si="17"/>
        <v>0</v>
      </c>
      <c r="AA33" s="2">
        <f t="shared" ca="1" si="17"/>
        <v>0</v>
      </c>
      <c r="AB33" s="2">
        <f t="shared" ca="1" si="17"/>
        <v>0</v>
      </c>
      <c r="AC33" s="2">
        <f t="shared" ca="1" si="17"/>
        <v>0</v>
      </c>
      <c r="AD33" s="2">
        <f t="shared" ca="1" si="17"/>
        <v>0</v>
      </c>
      <c r="AE33" s="2">
        <f t="shared" ca="1" si="17"/>
        <v>0</v>
      </c>
      <c r="AF33" s="2">
        <f t="shared" ca="1" si="17"/>
        <v>0</v>
      </c>
      <c r="AG33" s="2">
        <f t="shared" ca="1" si="17"/>
        <v>0</v>
      </c>
      <c r="AH33" s="2">
        <f t="shared" ca="1" si="17"/>
        <v>0</v>
      </c>
      <c r="AI33" s="2">
        <f t="shared" ca="1" si="17"/>
        <v>0</v>
      </c>
      <c r="AJ33" s="2">
        <f t="shared" ca="1" si="17"/>
        <v>0</v>
      </c>
    </row>
    <row r="34" spans="1:36" ht="24" customHeight="1" x14ac:dyDescent="0.2">
      <c r="A34" s="1"/>
      <c r="B34" s="2"/>
    </row>
    <row r="35" spans="1:36" ht="24" customHeight="1" x14ac:dyDescent="0.2">
      <c r="A35" s="22" t="s">
        <v>144</v>
      </c>
      <c r="B35" s="24">
        <f>SUM(B36:B38)</f>
        <v>28633</v>
      </c>
      <c r="C35" s="24">
        <f t="shared" ref="C35:AJ35" si="18">SUM(C36:C38)</f>
        <v>29921.484999999993</v>
      </c>
      <c r="D35" s="24">
        <f t="shared" si="18"/>
        <v>31267.951824999993</v>
      </c>
      <c r="E35" s="24">
        <f t="shared" si="18"/>
        <v>32675.009657124989</v>
      </c>
      <c r="F35" s="24">
        <f t="shared" si="18"/>
        <v>34145.385091695607</v>
      </c>
      <c r="G35" s="24">
        <f t="shared" si="18"/>
        <v>17684.692495429248</v>
      </c>
      <c r="H35" s="24">
        <f t="shared" si="18"/>
        <v>18480.503657723566</v>
      </c>
      <c r="I35" s="24">
        <f t="shared" si="18"/>
        <v>19312.126322321121</v>
      </c>
      <c r="J35" s="24">
        <f t="shared" si="18"/>
        <v>20181.172006825571</v>
      </c>
      <c r="K35" s="24">
        <f t="shared" si="18"/>
        <v>21089.324747132719</v>
      </c>
      <c r="L35" s="24">
        <f t="shared" si="18"/>
        <v>22038.34436075369</v>
      </c>
      <c r="M35" s="24">
        <f t="shared" si="18"/>
        <v>23030.069856987604</v>
      </c>
      <c r="N35" s="24">
        <f t="shared" si="18"/>
        <v>24066.423000552048</v>
      </c>
      <c r="O35" s="24">
        <f t="shared" si="18"/>
        <v>25149.412035576879</v>
      </c>
      <c r="P35" s="24">
        <f t="shared" si="18"/>
        <v>26281.135577177844</v>
      </c>
      <c r="Q35" s="24">
        <f t="shared" si="18"/>
        <v>27463.786678150835</v>
      </c>
      <c r="R35" s="24">
        <f t="shared" si="18"/>
        <v>28699.657078667624</v>
      </c>
      <c r="S35" s="24">
        <f t="shared" si="18"/>
        <v>29991.14164720766</v>
      </c>
      <c r="T35" s="24">
        <f t="shared" si="18"/>
        <v>31340.743021332004</v>
      </c>
      <c r="U35" s="24">
        <f t="shared" si="18"/>
        <v>32751.076457291936</v>
      </c>
      <c r="V35" s="24">
        <f t="shared" si="18"/>
        <v>34224.874897870075</v>
      </c>
      <c r="W35" s="24">
        <f t="shared" si="18"/>
        <v>35764.994268274211</v>
      </c>
      <c r="X35" s="24">
        <f t="shared" si="18"/>
        <v>37374.419010346559</v>
      </c>
      <c r="Y35" s="24">
        <f t="shared" si="18"/>
        <v>39056.267865812144</v>
      </c>
      <c r="Z35" s="24">
        <f t="shared" si="18"/>
        <v>40813.799919773686</v>
      </c>
      <c r="AA35" s="24">
        <f t="shared" si="18"/>
        <v>42650.420916163494</v>
      </c>
      <c r="AB35" s="24">
        <f t="shared" si="18"/>
        <v>44569.689857390855</v>
      </c>
      <c r="AC35" s="24">
        <f t="shared" si="18"/>
        <v>46575.325900973425</v>
      </c>
      <c r="AD35" s="24">
        <f t="shared" si="18"/>
        <v>48671.215566517239</v>
      </c>
      <c r="AE35" s="24">
        <f t="shared" si="18"/>
        <v>50861.420267010501</v>
      </c>
      <c r="AF35" s="24">
        <f t="shared" si="18"/>
        <v>53150.184179025986</v>
      </c>
      <c r="AG35" s="24">
        <f t="shared" si="18"/>
        <v>55541.942467082124</v>
      </c>
      <c r="AH35" s="24">
        <f t="shared" si="18"/>
        <v>58041.329878100805</v>
      </c>
      <c r="AI35" s="24">
        <f t="shared" si="18"/>
        <v>60653.189722615338</v>
      </c>
      <c r="AJ35" s="24">
        <f t="shared" si="18"/>
        <v>63382.583260133026</v>
      </c>
    </row>
    <row r="36" spans="1:36" ht="24" customHeight="1" x14ac:dyDescent="0.2">
      <c r="A36" s="3" t="s">
        <v>161</v>
      </c>
      <c r="B36" s="2">
        <f>(IF(B4&gt;=65,12*'Expenses (3)'!$B$16,0)+IF(AND(Assumptions!$B$3="M",B$5&gt;=65),12*'Expenses (3)'!$B$16,0))*(1+B$9)^B$1</f>
        <v>0</v>
      </c>
      <c r="C36" s="2">
        <f>(IF(C4&gt;=65,12*'Expenses (3)'!$B$16,0)+IF(AND(Assumptions!$B$3="M",C$5&gt;=65),12*'Expenses (3)'!$B$16,0))*(1+C$9)^C$1</f>
        <v>0</v>
      </c>
      <c r="D36" s="2">
        <f>(IF(D4&gt;=65,12*'Expenses (3)'!$B$16,0)+IF(AND(Assumptions!$B$3="M",D$5&gt;=65),12*'Expenses (3)'!$B$16,0))*(1+D$9)^D$1</f>
        <v>0</v>
      </c>
      <c r="E36" s="2">
        <f>(IF(E4&gt;=65,12*'Expenses (3)'!$B$16,0)+IF(AND(Assumptions!$B$3="M",E$5&gt;=65),12*'Expenses (3)'!$B$16,0))*(1+E$9)^E$1</f>
        <v>0</v>
      </c>
      <c r="F36" s="2">
        <f>(IF(F4&gt;=65,12*'Expenses (3)'!$B$16,0)+IF(AND(Assumptions!$B$3="M",F$5&gt;=65),12*'Expenses (3)'!$B$16,0))*(1+F$9)^F$1</f>
        <v>0</v>
      </c>
      <c r="G36" s="2">
        <f>(IF(G4&gt;=65,12*'Expenses (3)'!$B$16,0)+IF(AND(Assumptions!$B$3="M",G$5&gt;=65),12*'Expenses (3)'!$B$16,0))*(1+G$9)^G$1</f>
        <v>12501.697198536142</v>
      </c>
      <c r="H36" s="2">
        <f>(IF(H4&gt;=65,12*'Expenses (3)'!$B$16,0)+IF(AND(Assumptions!$B$3="M",H$5&gt;=65),12*'Expenses (3)'!$B$16,0))*(1+H$9)^H$1</f>
        <v>13064.273572470269</v>
      </c>
      <c r="I36" s="2">
        <f>(IF(I4&gt;=65,12*'Expenses (3)'!$B$16,0)+IF(AND(Assumptions!$B$3="M",I$5&gt;=65),12*'Expenses (3)'!$B$16,0))*(1+I$9)^I$1</f>
        <v>13652.165883231426</v>
      </c>
      <c r="J36" s="2">
        <f>(IF(J4&gt;=65,12*'Expenses (3)'!$B$16,0)+IF(AND(Assumptions!$B$3="M",J$5&gt;=65),12*'Expenses (3)'!$B$16,0))*(1+J$9)^J$1</f>
        <v>14266.513347976839</v>
      </c>
      <c r="K36" s="2">
        <f>(IF(K4&gt;=65,12*'Expenses (3)'!$B$16,0)+IF(AND(Assumptions!$B$3="M",K$5&gt;=65),12*'Expenses (3)'!$B$16,0))*(1+K$9)^K$1</f>
        <v>14908.506448635795</v>
      </c>
      <c r="L36" s="2">
        <f>(IF(L4&gt;=65,12*'Expenses (3)'!$B$16,0)+IF(AND(Assumptions!$B$3="M",L$5&gt;=65),12*'Expenses (3)'!$B$16,0))*(1+L$9)^L$1</f>
        <v>15579.389238824406</v>
      </c>
      <c r="M36" s="2">
        <f>(IF(M4&gt;=65,12*'Expenses (3)'!$B$16,0)+IF(AND(Assumptions!$B$3="M",M$5&gt;=65),12*'Expenses (3)'!$B$16,0))*(1+M$9)^M$1</f>
        <v>16280.461754571501</v>
      </c>
      <c r="N36" s="2">
        <f>(IF(N4&gt;=65,12*'Expenses (3)'!$B$16,0)+IF(AND(Assumptions!$B$3="M",N$5&gt;=65),12*'Expenses (3)'!$B$16,0))*(1+N$9)^N$1</f>
        <v>17013.08253352722</v>
      </c>
      <c r="O36" s="2">
        <f>(IF(O4&gt;=65,12*'Expenses (3)'!$B$16,0)+IF(AND(Assumptions!$B$3="M",O$5&gt;=65),12*'Expenses (3)'!$B$16,0))*(1+O$9)^O$1</f>
        <v>17778.671247535938</v>
      </c>
      <c r="P36" s="2">
        <f>(IF(P4&gt;=65,12*'Expenses (3)'!$B$16,0)+IF(AND(Assumptions!$B$3="M",P$5&gt;=65),12*'Expenses (3)'!$B$16,0))*(1+P$9)^P$1</f>
        <v>18578.71145367506</v>
      </c>
      <c r="Q36" s="2">
        <f>(IF(Q4&gt;=65,12*'Expenses (3)'!$B$16,0)+IF(AND(Assumptions!$B$3="M",Q$5&gt;=65),12*'Expenses (3)'!$B$16,0))*(1+Q$9)^Q$1</f>
        <v>19414.753469090429</v>
      </c>
      <c r="R36" s="2">
        <f>(IF(R4&gt;=65,12*'Expenses (3)'!$B$16,0)+IF(AND(Assumptions!$B$3="M",R$5&gt;=65),12*'Expenses (3)'!$B$16,0))*(1+R$9)^R$1</f>
        <v>20288.417375199497</v>
      </c>
      <c r="S36" s="2">
        <f>(IF(S4&gt;=65,12*'Expenses (3)'!$B$16,0)+IF(AND(Assumptions!$B$3="M",S$5&gt;=65),12*'Expenses (3)'!$B$16,0))*(1+S$9)^S$1</f>
        <v>21201.396157083473</v>
      </c>
      <c r="T36" s="2">
        <f>(IF(T4&gt;=65,12*'Expenses (3)'!$B$16,0)+IF(AND(Assumptions!$B$3="M",T$5&gt;=65),12*'Expenses (3)'!$B$16,0))*(1+T$9)^T$1</f>
        <v>22155.458984152225</v>
      </c>
      <c r="U36" s="2">
        <f>(IF(U4&gt;=65,12*'Expenses (3)'!$B$16,0)+IF(AND(Assumptions!$B$3="M",U$5&gt;=65),12*'Expenses (3)'!$B$16,0))*(1+U$9)^U$1</f>
        <v>23152.454638439071</v>
      </c>
      <c r="V36" s="2">
        <f>(IF(V4&gt;=65,12*'Expenses (3)'!$B$16,0)+IF(AND(Assumptions!$B$3="M",V$5&gt;=65),12*'Expenses (3)'!$B$16,0))*(1+V$9)^V$1</f>
        <v>24194.31509716883</v>
      </c>
      <c r="W36" s="2">
        <f>(IF(W4&gt;=65,12*'Expenses (3)'!$B$16,0)+IF(AND(Assumptions!$B$3="M",W$5&gt;=65),12*'Expenses (3)'!$B$16,0))*(1+W$9)^W$1</f>
        <v>25283.059276541419</v>
      </c>
      <c r="X36" s="2">
        <f>(IF(X4&gt;=65,12*'Expenses (3)'!$B$16,0)+IF(AND(Assumptions!$B$3="M",X$5&gt;=65),12*'Expenses (3)'!$B$16,0))*(1+X$9)^X$1</f>
        <v>26420.796943985784</v>
      </c>
      <c r="Y36" s="2">
        <f>(IF(Y4&gt;=65,12*'Expenses (3)'!$B$16,0)+IF(AND(Assumptions!$B$3="M",Y$5&gt;=65),12*'Expenses (3)'!$B$16,0))*(1+Y$9)^Y$1</f>
        <v>27609.732806465141</v>
      </c>
      <c r="Z36" s="2">
        <f>(IF(Z4&gt;=65,12*'Expenses (3)'!$B$16,0)+IF(AND(Assumptions!$B$3="M",Z$5&gt;=65),12*'Expenses (3)'!$B$16,0))*(1+Z$9)^Z$1</f>
        <v>28852.170782756068</v>
      </c>
      <c r="AA36" s="2">
        <f>(IF(AA4&gt;=65,12*'Expenses (3)'!$B$16,0)+IF(AND(Assumptions!$B$3="M",AA$5&gt;=65),12*'Expenses (3)'!$B$16,0))*(1+AA$9)^AA$1</f>
        <v>30150.518467980084</v>
      </c>
      <c r="AB36" s="2">
        <f>(IF(AB4&gt;=65,12*'Expenses (3)'!$B$16,0)+IF(AND(Assumptions!$B$3="M",AB$5&gt;=65),12*'Expenses (3)'!$B$16,0))*(1+AB$9)^AB$1</f>
        <v>31507.291799039187</v>
      </c>
      <c r="AC36" s="2">
        <f>(IF(AC4&gt;=65,12*'Expenses (3)'!$B$16,0)+IF(AND(Assumptions!$B$3="M",AC$5&gt;=65),12*'Expenses (3)'!$B$16,0))*(1+AC$9)^AC$1</f>
        <v>32925.119929995941</v>
      </c>
      <c r="AD36" s="2">
        <f>(IF(AD4&gt;=65,12*'Expenses (3)'!$B$16,0)+IF(AND(Assumptions!$B$3="M",AD$5&gt;=65),12*'Expenses (3)'!$B$16,0))*(1+AD$9)^AD$1</f>
        <v>34406.750326845766</v>
      </c>
      <c r="AE36" s="2">
        <f>(IF(AE4&gt;=65,12*'Expenses (3)'!$B$16,0)+IF(AND(Assumptions!$B$3="M",AE$5&gt;=65),12*'Expenses (3)'!$B$16,0))*(1+AE$9)^AE$1</f>
        <v>35955.054091553815</v>
      </c>
      <c r="AF36" s="2">
        <f>(IF(AF4&gt;=65,12*'Expenses (3)'!$B$16,0)+IF(AND(Assumptions!$B$3="M",AF$5&gt;=65),12*'Expenses (3)'!$B$16,0))*(1+AF$9)^AF$1</f>
        <v>37573.031525673745</v>
      </c>
      <c r="AG36" s="2">
        <f>(IF(AG4&gt;=65,12*'Expenses (3)'!$B$16,0)+IF(AND(Assumptions!$B$3="M",AG$5&gt;=65),12*'Expenses (3)'!$B$16,0))*(1+AG$9)^AG$1</f>
        <v>39263.817944329043</v>
      </c>
      <c r="AH36" s="2">
        <f>(IF(AH4&gt;=65,12*'Expenses (3)'!$B$16,0)+IF(AND(Assumptions!$B$3="M",AH$5&gt;=65),12*'Expenses (3)'!$B$16,0))*(1+AH$9)^AH$1</f>
        <v>41030.68975182384</v>
      </c>
      <c r="AI36" s="2">
        <f>(IF(AI4&gt;=65,12*'Expenses (3)'!$B$16,0)+IF(AND(Assumptions!$B$3="M",AI$5&gt;=65),12*'Expenses (3)'!$B$16,0))*(1+AI$9)^AI$1</f>
        <v>42877.070790655911</v>
      </c>
      <c r="AJ36" s="2">
        <f>(IF(AJ4&gt;=65,12*'Expenses (3)'!$B$16,0)+IF(AND(Assumptions!$B$3="M",AJ$5&gt;=65),12*'Expenses (3)'!$B$16,0))*(1+AJ$9)^AJ$1</f>
        <v>44806.538976235424</v>
      </c>
    </row>
    <row r="37" spans="1:36" ht="24" customHeight="1" x14ac:dyDescent="0.2">
      <c r="A37" s="3" t="s">
        <v>162</v>
      </c>
      <c r="B37" s="2">
        <f>(IF(B$4&lt;65,'Expenses (3)'!$B$14*12,0)+IF(AND(Assumptions!$B$3="M",B$5&lt;65),'Expenses (3)'!$B$14*12,0))*(1+B$9)^B$1</f>
        <v>16929</v>
      </c>
      <c r="C37" s="2">
        <f>(IF(C$4&lt;65,'Expenses (3)'!$B$14*12,0)+IF(AND(Assumptions!$B$3="M",C$5&lt;65),'Expenses (3)'!$B$14*12,0))*(1+C$9)^C$1</f>
        <v>17690.804999999997</v>
      </c>
      <c r="D37" s="2">
        <f>(IF(D$4&lt;65,'Expenses (3)'!$B$14*12,0)+IF(AND(Assumptions!$B$3="M",D$5&lt;65),'Expenses (3)'!$B$14*12,0))*(1+D$9)^D$1</f>
        <v>18486.891224999996</v>
      </c>
      <c r="E37" s="2">
        <f>(IF(E$4&lt;65,'Expenses (3)'!$B$14*12,0)+IF(AND(Assumptions!$B$3="M",E$5&lt;65),'Expenses (3)'!$B$14*12,0))*(1+E$9)^E$1</f>
        <v>19318.801330124992</v>
      </c>
      <c r="F37" s="2">
        <f>(IF(F$4&lt;65,'Expenses (3)'!$B$14*12,0)+IF(AND(Assumptions!$B$3="M",F$5&lt;65),'Expenses (3)'!$B$14*12,0))*(1+F$9)^F$1</f>
        <v>20188.147389980615</v>
      </c>
      <c r="G37" s="2">
        <f>(IF(G$4&lt;65,'Expenses (3)'!$B$14*12,0)+IF(AND(Assumptions!$B$3="M",G$5&lt;65),'Expenses (3)'!$B$14*12,0))*(1+G$9)^G$1</f>
        <v>0</v>
      </c>
      <c r="H37" s="2">
        <f>(IF(H$4&lt;65,'Expenses (3)'!$B$14*12,0)+IF(AND(Assumptions!$B$3="M",H$5&lt;65),'Expenses (3)'!$B$14*12,0))*(1+H$9)^H$1</f>
        <v>0</v>
      </c>
      <c r="I37" s="2">
        <f>(IF(I$4&lt;65,'Expenses (3)'!$B$14*12,0)+IF(AND(Assumptions!$B$3="M",I$5&lt;65),'Expenses (3)'!$B$14*12,0))*(1+I$9)^I$1</f>
        <v>0</v>
      </c>
      <c r="J37" s="2">
        <f>(IF(J$4&lt;65,'Expenses (3)'!$B$14*12,0)+IF(AND(Assumptions!$B$3="M",J$5&lt;65),'Expenses (3)'!$B$14*12,0))*(1+J$9)^J$1</f>
        <v>0</v>
      </c>
      <c r="K37" s="2">
        <f>(IF(K$4&lt;65,'Expenses (3)'!$B$14*12,0)+IF(AND(Assumptions!$B$3="M",K$5&lt;65),'Expenses (3)'!$B$14*12,0))*(1+K$9)^K$1</f>
        <v>0</v>
      </c>
      <c r="L37" s="2">
        <f>(IF(L$4&lt;65,'Expenses (3)'!$B$14*12,0)+IF(AND(Assumptions!$B$3="M",L$5&lt;65),'Expenses (3)'!$B$14*12,0))*(1+L$9)^L$1</f>
        <v>0</v>
      </c>
      <c r="M37" s="2">
        <f>(IF(M$4&lt;65,'Expenses (3)'!$B$14*12,0)+IF(AND(Assumptions!$B$3="M",M$5&lt;65),'Expenses (3)'!$B$14*12,0))*(1+M$9)^M$1</f>
        <v>0</v>
      </c>
      <c r="N37" s="2">
        <f>(IF(N$4&lt;65,'Expenses (3)'!$B$14*12,0)+IF(AND(Assumptions!$B$3="M",N$5&lt;65),'Expenses (3)'!$B$14*12,0))*(1+N$9)^N$1</f>
        <v>0</v>
      </c>
      <c r="O37" s="2">
        <f>(IF(O$4&lt;65,'Expenses (3)'!$B$14*12,0)+IF(AND(Assumptions!$B$3="M",O$5&lt;65),'Expenses (3)'!$B$14*12,0))*(1+O$9)^O$1</f>
        <v>0</v>
      </c>
      <c r="P37" s="2">
        <f>(IF(P$4&lt;65,'Expenses (3)'!$B$14*12,0)+IF(AND(Assumptions!$B$3="M",P$5&lt;65),'Expenses (3)'!$B$14*12,0))*(1+P$9)^P$1</f>
        <v>0</v>
      </c>
      <c r="Q37" s="2">
        <f>(IF(Q$4&lt;65,'Expenses (3)'!$B$14*12,0)+IF(AND(Assumptions!$B$3="M",Q$5&lt;65),'Expenses (3)'!$B$14*12,0))*(1+Q$9)^Q$1</f>
        <v>0</v>
      </c>
      <c r="R37" s="2">
        <f>(IF(R$4&lt;65,'Expenses (3)'!$B$14*12,0)+IF(AND(Assumptions!$B$3="M",R$5&lt;65),'Expenses (3)'!$B$14*12,0))*(1+R$9)^R$1</f>
        <v>0</v>
      </c>
      <c r="S37" s="2">
        <f>(IF(S$4&lt;65,'Expenses (3)'!$B$14*12,0)+IF(AND(Assumptions!$B$3="M",S$5&lt;65),'Expenses (3)'!$B$14*12,0))*(1+S$9)^S$1</f>
        <v>0</v>
      </c>
      <c r="T37" s="2">
        <f>(IF(T$4&lt;65,'Expenses (3)'!$B$14*12,0)+IF(AND(Assumptions!$B$3="M",T$5&lt;65),'Expenses (3)'!$B$14*12,0))*(1+T$9)^T$1</f>
        <v>0</v>
      </c>
      <c r="U37" s="2">
        <f>(IF(U$4&lt;65,'Expenses (3)'!$B$14*12,0)+IF(AND(Assumptions!$B$3="M",U$5&lt;65),'Expenses (3)'!$B$14*12,0))*(1+U$9)^U$1</f>
        <v>0</v>
      </c>
      <c r="V37" s="2">
        <f>(IF(V$4&lt;65,'Expenses (3)'!$B$14*12,0)+IF(AND(Assumptions!$B$3="M",V$5&lt;65),'Expenses (3)'!$B$14*12,0))*(1+V$9)^V$1</f>
        <v>0</v>
      </c>
      <c r="W37" s="2">
        <f>(IF(W$4&lt;65,'Expenses (3)'!$B$14*12,0)+IF(AND(Assumptions!$B$3="M",W$5&lt;65),'Expenses (3)'!$B$14*12,0))*(1+W$9)^W$1</f>
        <v>0</v>
      </c>
      <c r="X37" s="2">
        <f>(IF(X$4&lt;65,'Expenses (3)'!$B$14*12,0)+IF(AND(Assumptions!$B$3="M",X$5&lt;65),'Expenses (3)'!$B$14*12,0))*(1+X$9)^X$1</f>
        <v>0</v>
      </c>
      <c r="Y37" s="2">
        <f>(IF(Y$4&lt;65,'Expenses (3)'!$B$14*12,0)+IF(AND(Assumptions!$B$3="M",Y$5&lt;65),'Expenses (3)'!$B$14*12,0))*(1+Y$9)^Y$1</f>
        <v>0</v>
      </c>
      <c r="Z37" s="2">
        <f>(IF(Z$4&lt;65,'Expenses (3)'!$B$14*12,0)+IF(AND(Assumptions!$B$3="M",Z$5&lt;65),'Expenses (3)'!$B$14*12,0))*(1+Z$9)^Z$1</f>
        <v>0</v>
      </c>
      <c r="AA37" s="2">
        <f>(IF(AA$4&lt;65,'Expenses (3)'!$B$14*12,0)+IF(AND(Assumptions!$B$3="M",AA$5&lt;65),'Expenses (3)'!$B$14*12,0))*(1+AA$9)^AA$1</f>
        <v>0</v>
      </c>
      <c r="AB37" s="2">
        <f>(IF(AB$4&lt;65,'Expenses (3)'!$B$14*12,0)+IF(AND(Assumptions!$B$3="M",AB$5&lt;65),'Expenses (3)'!$B$14*12,0))*(1+AB$9)^AB$1</f>
        <v>0</v>
      </c>
      <c r="AC37" s="2">
        <f>(IF(AC$4&lt;65,'Expenses (3)'!$B$14*12,0)+IF(AND(Assumptions!$B$3="M",AC$5&lt;65),'Expenses (3)'!$B$14*12,0))*(1+AC$9)^AC$1</f>
        <v>0</v>
      </c>
      <c r="AD37" s="2">
        <f>(IF(AD$4&lt;65,'Expenses (3)'!$B$14*12,0)+IF(AND(Assumptions!$B$3="M",AD$5&lt;65),'Expenses (3)'!$B$14*12,0))*(1+AD$9)^AD$1</f>
        <v>0</v>
      </c>
      <c r="AE37" s="2">
        <f>(IF(AE$4&lt;65,'Expenses (3)'!$B$14*12,0)+IF(AND(Assumptions!$B$3="M",AE$5&lt;65),'Expenses (3)'!$B$14*12,0))*(1+AE$9)^AE$1</f>
        <v>0</v>
      </c>
      <c r="AF37" s="2">
        <f>(IF(AF$4&lt;65,'Expenses (3)'!$B$14*12,0)+IF(AND(Assumptions!$B$3="M",AF$5&lt;65),'Expenses (3)'!$B$14*12,0))*(1+AF$9)^AF$1</f>
        <v>0</v>
      </c>
      <c r="AG37" s="2">
        <f>(IF(AG$4&lt;65,'Expenses (3)'!$B$14*12,0)+IF(AND(Assumptions!$B$3="M",AG$5&lt;65),'Expenses (3)'!$B$14*12,0))*(1+AG$9)^AG$1</f>
        <v>0</v>
      </c>
      <c r="AH37" s="2">
        <f>(IF(AH$4&lt;65,'Expenses (3)'!$B$14*12,0)+IF(AND(Assumptions!$B$3="M",AH$5&lt;65),'Expenses (3)'!$B$14*12,0))*(1+AH$9)^AH$1</f>
        <v>0</v>
      </c>
      <c r="AI37" s="2">
        <f>(IF(AI$4&lt;65,'Expenses (3)'!$B$14*12,0)+IF(AND(Assumptions!$B$3="M",AI$5&lt;65),'Expenses (3)'!$B$14*12,0))*(1+AI$9)^AI$1</f>
        <v>0</v>
      </c>
      <c r="AJ37" s="2">
        <f>(IF(AJ$4&lt;65,'Expenses (3)'!$B$14*12,0)+IF(AND(Assumptions!$B$3="M",AJ$5&lt;65),'Expenses (3)'!$B$14*12,0))*(1+AJ$9)^AJ$1</f>
        <v>0</v>
      </c>
    </row>
    <row r="38" spans="1:36" ht="24" customHeight="1" x14ac:dyDescent="0.2">
      <c r="A38" s="1" t="s">
        <v>163</v>
      </c>
      <c r="B38" s="48">
        <f>(IF(B$4&lt;65,CHOOSE(MATCH('Expenses (3)'!$B$23,Tables!$L$38:$L$40),1,1,0.5)*'Expenses (3)'!$C$14+CHOOSE(MATCH('Expenses (3)'!$B$23,Tables!$L$38:$L$40),1,0,0)*'Expenses (3)'!$D$14,0)+IF(B$5&lt;65,CHOOSE(MATCH('Expenses (3)'!$B$23,Tables!$L$38:$L$40),1,1,0.5)*'Expenses (3)'!$C$14+CHOOSE(MATCH('Expenses (3)'!$B$23,Tables!$L$38:$L$40),1,0,0)*'Expenses (3)'!$D$14,0)+IF(B$4&gt;=65,CHOOSE(MATCH('Expenses (3)'!$B$23,Tables!$L$38:$L$40),1,1,0.5)*'Expenses (3)'!$C$16+CHOOSE(MATCH('Expenses (3)'!$B$23,Tables!$L$38:$L$40),1,0.5,0)*'Expenses (3)'!$D$16,0)+IF(B$5&gt;=65,CHOOSE(MATCH('Expenses (3)'!$B$23,Tables!$L$38:$L$40),1,1,0.5)*'Expenses (3)'!$C$16+CHOOSE(MATCH('Expenses (3)'!$B$23,Tables!$L$38:$L$40),1,0.5,0)*'Expenses (3)'!$D$16,0))*(1+B$9)^B$1</f>
        <v>11704</v>
      </c>
      <c r="C38" s="48">
        <f>(IF(C$4&lt;65,CHOOSE(MATCH('Expenses (3)'!$B$23,Tables!$L$38:$L$40),1,1,0.5)*'Expenses (3)'!$C$14+CHOOSE(MATCH('Expenses (3)'!$B$23,Tables!$L$38:$L$40),1,0,0)*'Expenses (3)'!$D$14,0)+IF(C$5&lt;65,CHOOSE(MATCH('Expenses (3)'!$B$23,Tables!$L$38:$L$40),1,1,0.5)*'Expenses (3)'!$C$14+CHOOSE(MATCH('Expenses (3)'!$B$23,Tables!$L$38:$L$40),1,0,0)*'Expenses (3)'!$D$14,0)+IF(C$4&gt;=65,CHOOSE(MATCH('Expenses (3)'!$B$23,Tables!$L$38:$L$40),1,1,0.5)*'Expenses (3)'!$C$16+CHOOSE(MATCH('Expenses (3)'!$B$23,Tables!$L$38:$L$40),1,0.5,0)*'Expenses (3)'!$D$16,0)+IF(C$5&gt;=65,CHOOSE(MATCH('Expenses (3)'!$B$23,Tables!$L$38:$L$40),1,1,0.5)*'Expenses (3)'!$C$16+CHOOSE(MATCH('Expenses (3)'!$B$23,Tables!$L$38:$L$40),1,0.5,0)*'Expenses (3)'!$D$16,0))*(1+C$9)^C$1</f>
        <v>12230.679999999998</v>
      </c>
      <c r="D38" s="48">
        <f>(IF(D$4&lt;65,CHOOSE(MATCH('Expenses (3)'!$B$23,Tables!$L$38:$L$40),1,1,0.5)*'Expenses (3)'!$C$14+CHOOSE(MATCH('Expenses (3)'!$B$23,Tables!$L$38:$L$40),1,0,0)*'Expenses (3)'!$D$14,0)+IF(D$5&lt;65,CHOOSE(MATCH('Expenses (3)'!$B$23,Tables!$L$38:$L$40),1,1,0.5)*'Expenses (3)'!$C$14+CHOOSE(MATCH('Expenses (3)'!$B$23,Tables!$L$38:$L$40),1,0,0)*'Expenses (3)'!$D$14,0)+IF(D$4&gt;=65,CHOOSE(MATCH('Expenses (3)'!$B$23,Tables!$L$38:$L$40),1,1,0.5)*'Expenses (3)'!$C$16+CHOOSE(MATCH('Expenses (3)'!$B$23,Tables!$L$38:$L$40),1,0.5,0)*'Expenses (3)'!$D$16,0)+IF(D$5&gt;=65,CHOOSE(MATCH('Expenses (3)'!$B$23,Tables!$L$38:$L$40),1,1,0.5)*'Expenses (3)'!$C$16+CHOOSE(MATCH('Expenses (3)'!$B$23,Tables!$L$38:$L$40),1,0.5,0)*'Expenses (3)'!$D$16,0))*(1+D$9)^D$1</f>
        <v>12781.060599999997</v>
      </c>
      <c r="E38" s="48">
        <f>(IF(E$4&lt;65,CHOOSE(MATCH('Expenses (3)'!$B$23,Tables!$L$38:$L$40),1,1,0.5)*'Expenses (3)'!$C$14+CHOOSE(MATCH('Expenses (3)'!$B$23,Tables!$L$38:$L$40),1,0,0)*'Expenses (3)'!$D$14,0)+IF(E$5&lt;65,CHOOSE(MATCH('Expenses (3)'!$B$23,Tables!$L$38:$L$40),1,1,0.5)*'Expenses (3)'!$C$14+CHOOSE(MATCH('Expenses (3)'!$B$23,Tables!$L$38:$L$40),1,0,0)*'Expenses (3)'!$D$14,0)+IF(E$4&gt;=65,CHOOSE(MATCH('Expenses (3)'!$B$23,Tables!$L$38:$L$40),1,1,0.5)*'Expenses (3)'!$C$16+CHOOSE(MATCH('Expenses (3)'!$B$23,Tables!$L$38:$L$40),1,0.5,0)*'Expenses (3)'!$D$16,0)+IF(E$5&gt;=65,CHOOSE(MATCH('Expenses (3)'!$B$23,Tables!$L$38:$L$40),1,1,0.5)*'Expenses (3)'!$C$16+CHOOSE(MATCH('Expenses (3)'!$B$23,Tables!$L$38:$L$40),1,0.5,0)*'Expenses (3)'!$D$16,0))*(1+E$9)^E$1</f>
        <v>13356.208326999995</v>
      </c>
      <c r="F38" s="48">
        <f>(IF(F$4&lt;65,CHOOSE(MATCH('Expenses (3)'!$B$23,Tables!$L$38:$L$40),1,1,0.5)*'Expenses (3)'!$C$14+CHOOSE(MATCH('Expenses (3)'!$B$23,Tables!$L$38:$L$40),1,0,0)*'Expenses (3)'!$D$14,0)+IF(F$5&lt;65,CHOOSE(MATCH('Expenses (3)'!$B$23,Tables!$L$38:$L$40),1,1,0.5)*'Expenses (3)'!$C$14+CHOOSE(MATCH('Expenses (3)'!$B$23,Tables!$L$38:$L$40),1,0,0)*'Expenses (3)'!$D$14,0)+IF(F$4&gt;=65,CHOOSE(MATCH('Expenses (3)'!$B$23,Tables!$L$38:$L$40),1,1,0.5)*'Expenses (3)'!$C$16+CHOOSE(MATCH('Expenses (3)'!$B$23,Tables!$L$38:$L$40),1,0.5,0)*'Expenses (3)'!$D$16,0)+IF(F$5&gt;=65,CHOOSE(MATCH('Expenses (3)'!$B$23,Tables!$L$38:$L$40),1,1,0.5)*'Expenses (3)'!$C$16+CHOOSE(MATCH('Expenses (3)'!$B$23,Tables!$L$38:$L$40),1,0.5,0)*'Expenses (3)'!$D$16,0))*(1+F$9)^F$1</f>
        <v>13957.237701714994</v>
      </c>
      <c r="G38" s="48">
        <f>(IF(G$4&lt;65,CHOOSE(MATCH('Expenses (3)'!$B$23,Tables!$L$38:$L$40),1,1,0.5)*'Expenses (3)'!$C$14+CHOOSE(MATCH('Expenses (3)'!$B$23,Tables!$L$38:$L$40),1,0,0)*'Expenses (3)'!$D$14,0)+IF(G$5&lt;65,CHOOSE(MATCH('Expenses (3)'!$B$23,Tables!$L$38:$L$40),1,1,0.5)*'Expenses (3)'!$C$14+CHOOSE(MATCH('Expenses (3)'!$B$23,Tables!$L$38:$L$40),1,0,0)*'Expenses (3)'!$D$14,0)+IF(G$4&gt;=65,CHOOSE(MATCH('Expenses (3)'!$B$23,Tables!$L$38:$L$40),1,1,0.5)*'Expenses (3)'!$C$16+CHOOSE(MATCH('Expenses (3)'!$B$23,Tables!$L$38:$L$40),1,0.5,0)*'Expenses (3)'!$D$16,0)+IF(G$5&gt;=65,CHOOSE(MATCH('Expenses (3)'!$B$23,Tables!$L$38:$L$40),1,1,0.5)*'Expenses (3)'!$C$16+CHOOSE(MATCH('Expenses (3)'!$B$23,Tables!$L$38:$L$40),1,0.5,0)*'Expenses (3)'!$D$16,0))*(1+G$9)^G$1</f>
        <v>5182.9952968931084</v>
      </c>
      <c r="H38" s="48">
        <f>(IF(H$4&lt;65,CHOOSE(MATCH('Expenses (3)'!$B$23,Tables!$L$38:$L$40),1,1,0.5)*'Expenses (3)'!$C$14+CHOOSE(MATCH('Expenses (3)'!$B$23,Tables!$L$38:$L$40),1,0,0)*'Expenses (3)'!$D$14,0)+IF(H$5&lt;65,CHOOSE(MATCH('Expenses (3)'!$B$23,Tables!$L$38:$L$40),1,1,0.5)*'Expenses (3)'!$C$14+CHOOSE(MATCH('Expenses (3)'!$B$23,Tables!$L$38:$L$40),1,0,0)*'Expenses (3)'!$D$14,0)+IF(H$4&gt;=65,CHOOSE(MATCH('Expenses (3)'!$B$23,Tables!$L$38:$L$40),1,1,0.5)*'Expenses (3)'!$C$16+CHOOSE(MATCH('Expenses (3)'!$B$23,Tables!$L$38:$L$40),1,0.5,0)*'Expenses (3)'!$D$16,0)+IF(H$5&gt;=65,CHOOSE(MATCH('Expenses (3)'!$B$23,Tables!$L$38:$L$40),1,1,0.5)*'Expenses (3)'!$C$16+CHOOSE(MATCH('Expenses (3)'!$B$23,Tables!$L$38:$L$40),1,0.5,0)*'Expenses (3)'!$D$16,0))*(1+H$9)^H$1</f>
        <v>5416.230085253299</v>
      </c>
      <c r="I38" s="48">
        <f>(IF(I$4&lt;65,CHOOSE(MATCH('Expenses (3)'!$B$23,Tables!$L$38:$L$40),1,1,0.5)*'Expenses (3)'!$C$14+CHOOSE(MATCH('Expenses (3)'!$B$23,Tables!$L$38:$L$40),1,0,0)*'Expenses (3)'!$D$14,0)+IF(I$5&lt;65,CHOOSE(MATCH('Expenses (3)'!$B$23,Tables!$L$38:$L$40),1,1,0.5)*'Expenses (3)'!$C$14+CHOOSE(MATCH('Expenses (3)'!$B$23,Tables!$L$38:$L$40),1,0,0)*'Expenses (3)'!$D$14,0)+IF(I$4&gt;=65,CHOOSE(MATCH('Expenses (3)'!$B$23,Tables!$L$38:$L$40),1,1,0.5)*'Expenses (3)'!$C$16+CHOOSE(MATCH('Expenses (3)'!$B$23,Tables!$L$38:$L$40),1,0.5,0)*'Expenses (3)'!$D$16,0)+IF(I$5&gt;=65,CHOOSE(MATCH('Expenses (3)'!$B$23,Tables!$L$38:$L$40),1,1,0.5)*'Expenses (3)'!$C$16+CHOOSE(MATCH('Expenses (3)'!$B$23,Tables!$L$38:$L$40),1,0.5,0)*'Expenses (3)'!$D$16,0))*(1+I$9)^I$1</f>
        <v>5659.9604390896957</v>
      </c>
      <c r="J38" s="48">
        <f>(IF(J$4&lt;65,CHOOSE(MATCH('Expenses (3)'!$B$23,Tables!$L$38:$L$40),1,1,0.5)*'Expenses (3)'!$C$14+CHOOSE(MATCH('Expenses (3)'!$B$23,Tables!$L$38:$L$40),1,0,0)*'Expenses (3)'!$D$14,0)+IF(J$5&lt;65,CHOOSE(MATCH('Expenses (3)'!$B$23,Tables!$L$38:$L$40),1,1,0.5)*'Expenses (3)'!$C$14+CHOOSE(MATCH('Expenses (3)'!$B$23,Tables!$L$38:$L$40),1,0,0)*'Expenses (3)'!$D$14,0)+IF(J$4&gt;=65,CHOOSE(MATCH('Expenses (3)'!$B$23,Tables!$L$38:$L$40),1,1,0.5)*'Expenses (3)'!$C$16+CHOOSE(MATCH('Expenses (3)'!$B$23,Tables!$L$38:$L$40),1,0.5,0)*'Expenses (3)'!$D$16,0)+IF(J$5&gt;=65,CHOOSE(MATCH('Expenses (3)'!$B$23,Tables!$L$38:$L$40),1,1,0.5)*'Expenses (3)'!$C$16+CHOOSE(MATCH('Expenses (3)'!$B$23,Tables!$L$38:$L$40),1,0.5,0)*'Expenses (3)'!$D$16,0))*(1+J$9)^J$1</f>
        <v>5914.6586588487316</v>
      </c>
      <c r="K38" s="48">
        <f>(IF(K$4&lt;65,CHOOSE(MATCH('Expenses (3)'!$B$23,Tables!$L$38:$L$40),1,1,0.5)*'Expenses (3)'!$C$14+CHOOSE(MATCH('Expenses (3)'!$B$23,Tables!$L$38:$L$40),1,0,0)*'Expenses (3)'!$D$14,0)+IF(K$5&lt;65,CHOOSE(MATCH('Expenses (3)'!$B$23,Tables!$L$38:$L$40),1,1,0.5)*'Expenses (3)'!$C$14+CHOOSE(MATCH('Expenses (3)'!$B$23,Tables!$L$38:$L$40),1,0,0)*'Expenses (3)'!$D$14,0)+IF(K$4&gt;=65,CHOOSE(MATCH('Expenses (3)'!$B$23,Tables!$L$38:$L$40),1,1,0.5)*'Expenses (3)'!$C$16+CHOOSE(MATCH('Expenses (3)'!$B$23,Tables!$L$38:$L$40),1,0.5,0)*'Expenses (3)'!$D$16,0)+IF(K$5&gt;=65,CHOOSE(MATCH('Expenses (3)'!$B$23,Tables!$L$38:$L$40),1,1,0.5)*'Expenses (3)'!$C$16+CHOOSE(MATCH('Expenses (3)'!$B$23,Tables!$L$38:$L$40),1,0.5,0)*'Expenses (3)'!$D$16,0))*(1+K$9)^K$1</f>
        <v>6180.8182984969235</v>
      </c>
      <c r="L38" s="48">
        <f>(IF(L$4&lt;65,CHOOSE(MATCH('Expenses (3)'!$B$23,Tables!$L$38:$L$40),1,1,0.5)*'Expenses (3)'!$C$14+CHOOSE(MATCH('Expenses (3)'!$B$23,Tables!$L$38:$L$40),1,0,0)*'Expenses (3)'!$D$14,0)+IF(L$5&lt;65,CHOOSE(MATCH('Expenses (3)'!$B$23,Tables!$L$38:$L$40),1,1,0.5)*'Expenses (3)'!$C$14+CHOOSE(MATCH('Expenses (3)'!$B$23,Tables!$L$38:$L$40),1,0,0)*'Expenses (3)'!$D$14,0)+IF(L$4&gt;=65,CHOOSE(MATCH('Expenses (3)'!$B$23,Tables!$L$38:$L$40),1,1,0.5)*'Expenses (3)'!$C$16+CHOOSE(MATCH('Expenses (3)'!$B$23,Tables!$L$38:$L$40),1,0.5,0)*'Expenses (3)'!$D$16,0)+IF(L$5&gt;=65,CHOOSE(MATCH('Expenses (3)'!$B$23,Tables!$L$38:$L$40),1,1,0.5)*'Expenses (3)'!$C$16+CHOOSE(MATCH('Expenses (3)'!$B$23,Tables!$L$38:$L$40),1,0.5,0)*'Expenses (3)'!$D$16,0))*(1+L$9)^L$1</f>
        <v>6458.9551219292853</v>
      </c>
      <c r="M38" s="48">
        <f>(IF(M$4&lt;65,CHOOSE(MATCH('Expenses (3)'!$B$23,Tables!$L$38:$L$40),1,1,0.5)*'Expenses (3)'!$C$14+CHOOSE(MATCH('Expenses (3)'!$B$23,Tables!$L$38:$L$40),1,0,0)*'Expenses (3)'!$D$14,0)+IF(M$5&lt;65,CHOOSE(MATCH('Expenses (3)'!$B$23,Tables!$L$38:$L$40),1,1,0.5)*'Expenses (3)'!$C$14+CHOOSE(MATCH('Expenses (3)'!$B$23,Tables!$L$38:$L$40),1,0,0)*'Expenses (3)'!$D$14,0)+IF(M$4&gt;=65,CHOOSE(MATCH('Expenses (3)'!$B$23,Tables!$L$38:$L$40),1,1,0.5)*'Expenses (3)'!$C$16+CHOOSE(MATCH('Expenses (3)'!$B$23,Tables!$L$38:$L$40),1,0.5,0)*'Expenses (3)'!$D$16,0)+IF(M$5&gt;=65,CHOOSE(MATCH('Expenses (3)'!$B$23,Tables!$L$38:$L$40),1,1,0.5)*'Expenses (3)'!$C$16+CHOOSE(MATCH('Expenses (3)'!$B$23,Tables!$L$38:$L$40),1,0.5,0)*'Expenses (3)'!$D$16,0))*(1+M$9)^M$1</f>
        <v>6749.6081024161012</v>
      </c>
      <c r="N38" s="48">
        <f>(IF(N$4&lt;65,CHOOSE(MATCH('Expenses (3)'!$B$23,Tables!$L$38:$L$40),1,1,0.5)*'Expenses (3)'!$C$14+CHOOSE(MATCH('Expenses (3)'!$B$23,Tables!$L$38:$L$40),1,0,0)*'Expenses (3)'!$D$14,0)+IF(N$5&lt;65,CHOOSE(MATCH('Expenses (3)'!$B$23,Tables!$L$38:$L$40),1,1,0.5)*'Expenses (3)'!$C$14+CHOOSE(MATCH('Expenses (3)'!$B$23,Tables!$L$38:$L$40),1,0,0)*'Expenses (3)'!$D$14,0)+IF(N$4&gt;=65,CHOOSE(MATCH('Expenses (3)'!$B$23,Tables!$L$38:$L$40),1,1,0.5)*'Expenses (3)'!$C$16+CHOOSE(MATCH('Expenses (3)'!$B$23,Tables!$L$38:$L$40),1,0.5,0)*'Expenses (3)'!$D$16,0)+IF(N$5&gt;=65,CHOOSE(MATCH('Expenses (3)'!$B$23,Tables!$L$38:$L$40),1,1,0.5)*'Expenses (3)'!$C$16+CHOOSE(MATCH('Expenses (3)'!$B$23,Tables!$L$38:$L$40),1,0.5,0)*'Expenses (3)'!$D$16,0))*(1+N$9)^N$1</f>
        <v>7053.3404670248265</v>
      </c>
      <c r="O38" s="48">
        <f>(IF(O$4&lt;65,CHOOSE(MATCH('Expenses (3)'!$B$23,Tables!$L$38:$L$40),1,1,0.5)*'Expenses (3)'!$C$14+CHOOSE(MATCH('Expenses (3)'!$B$23,Tables!$L$38:$L$40),1,0,0)*'Expenses (3)'!$D$14,0)+IF(O$5&lt;65,CHOOSE(MATCH('Expenses (3)'!$B$23,Tables!$L$38:$L$40),1,1,0.5)*'Expenses (3)'!$C$14+CHOOSE(MATCH('Expenses (3)'!$B$23,Tables!$L$38:$L$40),1,0,0)*'Expenses (3)'!$D$14,0)+IF(O$4&gt;=65,CHOOSE(MATCH('Expenses (3)'!$B$23,Tables!$L$38:$L$40),1,1,0.5)*'Expenses (3)'!$C$16+CHOOSE(MATCH('Expenses (3)'!$B$23,Tables!$L$38:$L$40),1,0.5,0)*'Expenses (3)'!$D$16,0)+IF(O$5&gt;=65,CHOOSE(MATCH('Expenses (3)'!$B$23,Tables!$L$38:$L$40),1,1,0.5)*'Expenses (3)'!$C$16+CHOOSE(MATCH('Expenses (3)'!$B$23,Tables!$L$38:$L$40),1,0.5,0)*'Expenses (3)'!$D$16,0))*(1+O$9)^O$1</f>
        <v>7370.7407880409419</v>
      </c>
      <c r="P38" s="48">
        <f>(IF(P$4&lt;65,CHOOSE(MATCH('Expenses (3)'!$B$23,Tables!$L$38:$L$40),1,1,0.5)*'Expenses (3)'!$C$14+CHOOSE(MATCH('Expenses (3)'!$B$23,Tables!$L$38:$L$40),1,0,0)*'Expenses (3)'!$D$14,0)+IF(P$5&lt;65,CHOOSE(MATCH('Expenses (3)'!$B$23,Tables!$L$38:$L$40),1,1,0.5)*'Expenses (3)'!$C$14+CHOOSE(MATCH('Expenses (3)'!$B$23,Tables!$L$38:$L$40),1,0,0)*'Expenses (3)'!$D$14,0)+IF(P$4&gt;=65,CHOOSE(MATCH('Expenses (3)'!$B$23,Tables!$L$38:$L$40),1,1,0.5)*'Expenses (3)'!$C$16+CHOOSE(MATCH('Expenses (3)'!$B$23,Tables!$L$38:$L$40),1,0.5,0)*'Expenses (3)'!$D$16,0)+IF(P$5&gt;=65,CHOOSE(MATCH('Expenses (3)'!$B$23,Tables!$L$38:$L$40),1,1,0.5)*'Expenses (3)'!$C$16+CHOOSE(MATCH('Expenses (3)'!$B$23,Tables!$L$38:$L$40),1,0.5,0)*'Expenses (3)'!$D$16,0))*(1+P$9)^P$1</f>
        <v>7702.4241235027848</v>
      </c>
      <c r="Q38" s="48">
        <f>(IF(Q$4&lt;65,CHOOSE(MATCH('Expenses (3)'!$B$23,Tables!$L$38:$L$40),1,1,0.5)*'Expenses (3)'!$C$14+CHOOSE(MATCH('Expenses (3)'!$B$23,Tables!$L$38:$L$40),1,0,0)*'Expenses (3)'!$D$14,0)+IF(Q$5&lt;65,CHOOSE(MATCH('Expenses (3)'!$B$23,Tables!$L$38:$L$40),1,1,0.5)*'Expenses (3)'!$C$14+CHOOSE(MATCH('Expenses (3)'!$B$23,Tables!$L$38:$L$40),1,0,0)*'Expenses (3)'!$D$14,0)+IF(Q$4&gt;=65,CHOOSE(MATCH('Expenses (3)'!$B$23,Tables!$L$38:$L$40),1,1,0.5)*'Expenses (3)'!$C$16+CHOOSE(MATCH('Expenses (3)'!$B$23,Tables!$L$38:$L$40),1,0.5,0)*'Expenses (3)'!$D$16,0)+IF(Q$5&gt;=65,CHOOSE(MATCH('Expenses (3)'!$B$23,Tables!$L$38:$L$40),1,1,0.5)*'Expenses (3)'!$C$16+CHOOSE(MATCH('Expenses (3)'!$B$23,Tables!$L$38:$L$40),1,0.5,0)*'Expenses (3)'!$D$16,0))*(1+Q$9)^Q$1</f>
        <v>8049.033209060407</v>
      </c>
      <c r="R38" s="48">
        <f>(IF(R$4&lt;65,CHOOSE(MATCH('Expenses (3)'!$B$23,Tables!$L$38:$L$40),1,1,0.5)*'Expenses (3)'!$C$14+CHOOSE(MATCH('Expenses (3)'!$B$23,Tables!$L$38:$L$40),1,0,0)*'Expenses (3)'!$D$14,0)+IF(R$5&lt;65,CHOOSE(MATCH('Expenses (3)'!$B$23,Tables!$L$38:$L$40),1,1,0.5)*'Expenses (3)'!$C$14+CHOOSE(MATCH('Expenses (3)'!$B$23,Tables!$L$38:$L$40),1,0,0)*'Expenses (3)'!$D$14,0)+IF(R$4&gt;=65,CHOOSE(MATCH('Expenses (3)'!$B$23,Tables!$L$38:$L$40),1,1,0.5)*'Expenses (3)'!$C$16+CHOOSE(MATCH('Expenses (3)'!$B$23,Tables!$L$38:$L$40),1,0.5,0)*'Expenses (3)'!$D$16,0)+IF(R$5&gt;=65,CHOOSE(MATCH('Expenses (3)'!$B$23,Tables!$L$38:$L$40),1,1,0.5)*'Expenses (3)'!$C$16+CHOOSE(MATCH('Expenses (3)'!$B$23,Tables!$L$38:$L$40),1,0.5,0)*'Expenses (3)'!$D$16,0))*(1+R$9)^R$1</f>
        <v>8411.2397034681253</v>
      </c>
      <c r="S38" s="48">
        <f>(IF(S$4&lt;65,CHOOSE(MATCH('Expenses (3)'!$B$23,Tables!$L$38:$L$40),1,1,0.5)*'Expenses (3)'!$C$14+CHOOSE(MATCH('Expenses (3)'!$B$23,Tables!$L$38:$L$40),1,0,0)*'Expenses (3)'!$D$14,0)+IF(S$5&lt;65,CHOOSE(MATCH('Expenses (3)'!$B$23,Tables!$L$38:$L$40),1,1,0.5)*'Expenses (3)'!$C$14+CHOOSE(MATCH('Expenses (3)'!$B$23,Tables!$L$38:$L$40),1,0,0)*'Expenses (3)'!$D$14,0)+IF(S$4&gt;=65,CHOOSE(MATCH('Expenses (3)'!$B$23,Tables!$L$38:$L$40),1,1,0.5)*'Expenses (3)'!$C$16+CHOOSE(MATCH('Expenses (3)'!$B$23,Tables!$L$38:$L$40),1,0.5,0)*'Expenses (3)'!$D$16,0)+IF(S$5&gt;=65,CHOOSE(MATCH('Expenses (3)'!$B$23,Tables!$L$38:$L$40),1,1,0.5)*'Expenses (3)'!$C$16+CHOOSE(MATCH('Expenses (3)'!$B$23,Tables!$L$38:$L$40),1,0.5,0)*'Expenses (3)'!$D$16,0))*(1+S$9)^S$1</f>
        <v>8789.745490124189</v>
      </c>
      <c r="T38" s="48">
        <f>(IF(T$4&lt;65,CHOOSE(MATCH('Expenses (3)'!$B$23,Tables!$L$38:$L$40),1,1,0.5)*'Expenses (3)'!$C$14+CHOOSE(MATCH('Expenses (3)'!$B$23,Tables!$L$38:$L$40),1,0,0)*'Expenses (3)'!$D$14,0)+IF(T$5&lt;65,CHOOSE(MATCH('Expenses (3)'!$B$23,Tables!$L$38:$L$40),1,1,0.5)*'Expenses (3)'!$C$14+CHOOSE(MATCH('Expenses (3)'!$B$23,Tables!$L$38:$L$40),1,0,0)*'Expenses (3)'!$D$14,0)+IF(T$4&gt;=65,CHOOSE(MATCH('Expenses (3)'!$B$23,Tables!$L$38:$L$40),1,1,0.5)*'Expenses (3)'!$C$16+CHOOSE(MATCH('Expenses (3)'!$B$23,Tables!$L$38:$L$40),1,0.5,0)*'Expenses (3)'!$D$16,0)+IF(T$5&gt;=65,CHOOSE(MATCH('Expenses (3)'!$B$23,Tables!$L$38:$L$40),1,1,0.5)*'Expenses (3)'!$C$16+CHOOSE(MATCH('Expenses (3)'!$B$23,Tables!$L$38:$L$40),1,0.5,0)*'Expenses (3)'!$D$16,0))*(1+T$9)^T$1</f>
        <v>9185.2840371797774</v>
      </c>
      <c r="U38" s="48">
        <f>(IF(U$4&lt;65,CHOOSE(MATCH('Expenses (3)'!$B$23,Tables!$L$38:$L$40),1,1,0.5)*'Expenses (3)'!$C$14+CHOOSE(MATCH('Expenses (3)'!$B$23,Tables!$L$38:$L$40),1,0,0)*'Expenses (3)'!$D$14,0)+IF(U$5&lt;65,CHOOSE(MATCH('Expenses (3)'!$B$23,Tables!$L$38:$L$40),1,1,0.5)*'Expenses (3)'!$C$14+CHOOSE(MATCH('Expenses (3)'!$B$23,Tables!$L$38:$L$40),1,0,0)*'Expenses (3)'!$D$14,0)+IF(U$4&gt;=65,CHOOSE(MATCH('Expenses (3)'!$B$23,Tables!$L$38:$L$40),1,1,0.5)*'Expenses (3)'!$C$16+CHOOSE(MATCH('Expenses (3)'!$B$23,Tables!$L$38:$L$40),1,0.5,0)*'Expenses (3)'!$D$16,0)+IF(U$5&gt;=65,CHOOSE(MATCH('Expenses (3)'!$B$23,Tables!$L$38:$L$40),1,1,0.5)*'Expenses (3)'!$C$16+CHOOSE(MATCH('Expenses (3)'!$B$23,Tables!$L$38:$L$40),1,0.5,0)*'Expenses (3)'!$D$16,0))*(1+U$9)^U$1</f>
        <v>9598.6218188528637</v>
      </c>
      <c r="V38" s="48">
        <f>(IF(V$4&lt;65,CHOOSE(MATCH('Expenses (3)'!$B$23,Tables!$L$38:$L$40),1,1,0.5)*'Expenses (3)'!$C$14+CHOOSE(MATCH('Expenses (3)'!$B$23,Tables!$L$38:$L$40),1,0,0)*'Expenses (3)'!$D$14,0)+IF(V$5&lt;65,CHOOSE(MATCH('Expenses (3)'!$B$23,Tables!$L$38:$L$40),1,1,0.5)*'Expenses (3)'!$C$14+CHOOSE(MATCH('Expenses (3)'!$B$23,Tables!$L$38:$L$40),1,0,0)*'Expenses (3)'!$D$14,0)+IF(V$4&gt;=65,CHOOSE(MATCH('Expenses (3)'!$B$23,Tables!$L$38:$L$40),1,1,0.5)*'Expenses (3)'!$C$16+CHOOSE(MATCH('Expenses (3)'!$B$23,Tables!$L$38:$L$40),1,0.5,0)*'Expenses (3)'!$D$16,0)+IF(V$5&gt;=65,CHOOSE(MATCH('Expenses (3)'!$B$23,Tables!$L$38:$L$40),1,1,0.5)*'Expenses (3)'!$C$16+CHOOSE(MATCH('Expenses (3)'!$B$23,Tables!$L$38:$L$40),1,0.5,0)*'Expenses (3)'!$D$16,0))*(1+V$9)^V$1</f>
        <v>10030.559800701245</v>
      </c>
      <c r="W38" s="48">
        <f>(IF(W$4&lt;65,CHOOSE(MATCH('Expenses (3)'!$B$23,Tables!$L$38:$L$40),1,1,0.5)*'Expenses (3)'!$C$14+CHOOSE(MATCH('Expenses (3)'!$B$23,Tables!$L$38:$L$40),1,0,0)*'Expenses (3)'!$D$14,0)+IF(W$5&lt;65,CHOOSE(MATCH('Expenses (3)'!$B$23,Tables!$L$38:$L$40),1,1,0.5)*'Expenses (3)'!$C$14+CHOOSE(MATCH('Expenses (3)'!$B$23,Tables!$L$38:$L$40),1,0,0)*'Expenses (3)'!$D$14,0)+IF(W$4&gt;=65,CHOOSE(MATCH('Expenses (3)'!$B$23,Tables!$L$38:$L$40),1,1,0.5)*'Expenses (3)'!$C$16+CHOOSE(MATCH('Expenses (3)'!$B$23,Tables!$L$38:$L$40),1,0.5,0)*'Expenses (3)'!$D$16,0)+IF(W$5&gt;=65,CHOOSE(MATCH('Expenses (3)'!$B$23,Tables!$L$38:$L$40),1,1,0.5)*'Expenses (3)'!$C$16+CHOOSE(MATCH('Expenses (3)'!$B$23,Tables!$L$38:$L$40),1,0.5,0)*'Expenses (3)'!$D$16,0))*(1+W$9)^W$1</f>
        <v>10481.934991732796</v>
      </c>
      <c r="X38" s="48">
        <f>(IF(X$4&lt;65,CHOOSE(MATCH('Expenses (3)'!$B$23,Tables!$L$38:$L$40),1,1,0.5)*'Expenses (3)'!$C$14+CHOOSE(MATCH('Expenses (3)'!$B$23,Tables!$L$38:$L$40),1,0,0)*'Expenses (3)'!$D$14,0)+IF(X$5&lt;65,CHOOSE(MATCH('Expenses (3)'!$B$23,Tables!$L$38:$L$40),1,1,0.5)*'Expenses (3)'!$C$14+CHOOSE(MATCH('Expenses (3)'!$B$23,Tables!$L$38:$L$40),1,0,0)*'Expenses (3)'!$D$14,0)+IF(X$4&gt;=65,CHOOSE(MATCH('Expenses (3)'!$B$23,Tables!$L$38:$L$40),1,1,0.5)*'Expenses (3)'!$C$16+CHOOSE(MATCH('Expenses (3)'!$B$23,Tables!$L$38:$L$40),1,0.5,0)*'Expenses (3)'!$D$16,0)+IF(X$5&gt;=65,CHOOSE(MATCH('Expenses (3)'!$B$23,Tables!$L$38:$L$40),1,1,0.5)*'Expenses (3)'!$C$16+CHOOSE(MATCH('Expenses (3)'!$B$23,Tables!$L$38:$L$40),1,0.5,0)*'Expenses (3)'!$D$16,0))*(1+X$9)^X$1</f>
        <v>10953.622066360773</v>
      </c>
      <c r="Y38" s="48">
        <f>(IF(Y$4&lt;65,CHOOSE(MATCH('Expenses (3)'!$B$23,Tables!$L$38:$L$40),1,1,0.5)*'Expenses (3)'!$C$14+CHOOSE(MATCH('Expenses (3)'!$B$23,Tables!$L$38:$L$40),1,0,0)*'Expenses (3)'!$D$14,0)+IF(Y$5&lt;65,CHOOSE(MATCH('Expenses (3)'!$B$23,Tables!$L$38:$L$40),1,1,0.5)*'Expenses (3)'!$C$14+CHOOSE(MATCH('Expenses (3)'!$B$23,Tables!$L$38:$L$40),1,0,0)*'Expenses (3)'!$D$14,0)+IF(Y$4&gt;=65,CHOOSE(MATCH('Expenses (3)'!$B$23,Tables!$L$38:$L$40),1,1,0.5)*'Expenses (3)'!$C$16+CHOOSE(MATCH('Expenses (3)'!$B$23,Tables!$L$38:$L$40),1,0.5,0)*'Expenses (3)'!$D$16,0)+IF(Y$5&gt;=65,CHOOSE(MATCH('Expenses (3)'!$B$23,Tables!$L$38:$L$40),1,1,0.5)*'Expenses (3)'!$C$16+CHOOSE(MATCH('Expenses (3)'!$B$23,Tables!$L$38:$L$40),1,0.5,0)*'Expenses (3)'!$D$16,0))*(1+Y$9)^Y$1</f>
        <v>11446.535059347005</v>
      </c>
      <c r="Z38" s="48">
        <f>(IF(Z$4&lt;65,CHOOSE(MATCH('Expenses (3)'!$B$23,Tables!$L$38:$L$40),1,1,0.5)*'Expenses (3)'!$C$14+CHOOSE(MATCH('Expenses (3)'!$B$23,Tables!$L$38:$L$40),1,0,0)*'Expenses (3)'!$D$14,0)+IF(Z$5&lt;65,CHOOSE(MATCH('Expenses (3)'!$B$23,Tables!$L$38:$L$40),1,1,0.5)*'Expenses (3)'!$C$14+CHOOSE(MATCH('Expenses (3)'!$B$23,Tables!$L$38:$L$40),1,0,0)*'Expenses (3)'!$D$14,0)+IF(Z$4&gt;=65,CHOOSE(MATCH('Expenses (3)'!$B$23,Tables!$L$38:$L$40),1,1,0.5)*'Expenses (3)'!$C$16+CHOOSE(MATCH('Expenses (3)'!$B$23,Tables!$L$38:$L$40),1,0.5,0)*'Expenses (3)'!$D$16,0)+IF(Z$5&gt;=65,CHOOSE(MATCH('Expenses (3)'!$B$23,Tables!$L$38:$L$40),1,1,0.5)*'Expenses (3)'!$C$16+CHOOSE(MATCH('Expenses (3)'!$B$23,Tables!$L$38:$L$40),1,0.5,0)*'Expenses (3)'!$D$16,0))*(1+Z$9)^Z$1</f>
        <v>11961.62913701762</v>
      </c>
      <c r="AA38" s="48">
        <f>(IF(AA$4&lt;65,CHOOSE(MATCH('Expenses (3)'!$B$23,Tables!$L$38:$L$40),1,1,0.5)*'Expenses (3)'!$C$14+CHOOSE(MATCH('Expenses (3)'!$B$23,Tables!$L$38:$L$40),1,0,0)*'Expenses (3)'!$D$14,0)+IF(AA$5&lt;65,CHOOSE(MATCH('Expenses (3)'!$B$23,Tables!$L$38:$L$40),1,1,0.5)*'Expenses (3)'!$C$14+CHOOSE(MATCH('Expenses (3)'!$B$23,Tables!$L$38:$L$40),1,0,0)*'Expenses (3)'!$D$14,0)+IF(AA$4&gt;=65,CHOOSE(MATCH('Expenses (3)'!$B$23,Tables!$L$38:$L$40),1,1,0.5)*'Expenses (3)'!$C$16+CHOOSE(MATCH('Expenses (3)'!$B$23,Tables!$L$38:$L$40),1,0.5,0)*'Expenses (3)'!$D$16,0)+IF(AA$5&gt;=65,CHOOSE(MATCH('Expenses (3)'!$B$23,Tables!$L$38:$L$40),1,1,0.5)*'Expenses (3)'!$C$16+CHOOSE(MATCH('Expenses (3)'!$B$23,Tables!$L$38:$L$40),1,0.5,0)*'Expenses (3)'!$D$16,0))*(1+AA$9)^AA$1</f>
        <v>12499.902448183409</v>
      </c>
      <c r="AB38" s="48">
        <f>(IF(AB$4&lt;65,CHOOSE(MATCH('Expenses (3)'!$B$23,Tables!$L$38:$L$40),1,1,0.5)*'Expenses (3)'!$C$14+CHOOSE(MATCH('Expenses (3)'!$B$23,Tables!$L$38:$L$40),1,0,0)*'Expenses (3)'!$D$14,0)+IF(AB$5&lt;65,CHOOSE(MATCH('Expenses (3)'!$B$23,Tables!$L$38:$L$40),1,1,0.5)*'Expenses (3)'!$C$14+CHOOSE(MATCH('Expenses (3)'!$B$23,Tables!$L$38:$L$40),1,0,0)*'Expenses (3)'!$D$14,0)+IF(AB$4&gt;=65,CHOOSE(MATCH('Expenses (3)'!$B$23,Tables!$L$38:$L$40),1,1,0.5)*'Expenses (3)'!$C$16+CHOOSE(MATCH('Expenses (3)'!$B$23,Tables!$L$38:$L$40),1,0.5,0)*'Expenses (3)'!$D$16,0)+IF(AB$5&gt;=65,CHOOSE(MATCH('Expenses (3)'!$B$23,Tables!$L$38:$L$40),1,1,0.5)*'Expenses (3)'!$C$16+CHOOSE(MATCH('Expenses (3)'!$B$23,Tables!$L$38:$L$40),1,0.5,0)*'Expenses (3)'!$D$16,0))*(1+AB$9)^AB$1</f>
        <v>13062.398058351664</v>
      </c>
      <c r="AC38" s="48">
        <f>(IF(AC$4&lt;65,CHOOSE(MATCH('Expenses (3)'!$B$23,Tables!$L$38:$L$40),1,1,0.5)*'Expenses (3)'!$C$14+CHOOSE(MATCH('Expenses (3)'!$B$23,Tables!$L$38:$L$40),1,0,0)*'Expenses (3)'!$D$14,0)+IF(AC$5&lt;65,CHOOSE(MATCH('Expenses (3)'!$B$23,Tables!$L$38:$L$40),1,1,0.5)*'Expenses (3)'!$C$14+CHOOSE(MATCH('Expenses (3)'!$B$23,Tables!$L$38:$L$40),1,0,0)*'Expenses (3)'!$D$14,0)+IF(AC$4&gt;=65,CHOOSE(MATCH('Expenses (3)'!$B$23,Tables!$L$38:$L$40),1,1,0.5)*'Expenses (3)'!$C$16+CHOOSE(MATCH('Expenses (3)'!$B$23,Tables!$L$38:$L$40),1,0.5,0)*'Expenses (3)'!$D$16,0)+IF(AC$5&gt;=65,CHOOSE(MATCH('Expenses (3)'!$B$23,Tables!$L$38:$L$40),1,1,0.5)*'Expenses (3)'!$C$16+CHOOSE(MATCH('Expenses (3)'!$B$23,Tables!$L$38:$L$40),1,0.5,0)*'Expenses (3)'!$D$16,0))*(1+AC$9)^AC$1</f>
        <v>13650.205970977486</v>
      </c>
      <c r="AD38" s="48">
        <f>(IF(AD$4&lt;65,CHOOSE(MATCH('Expenses (3)'!$B$23,Tables!$L$38:$L$40),1,1,0.5)*'Expenses (3)'!$C$14+CHOOSE(MATCH('Expenses (3)'!$B$23,Tables!$L$38:$L$40),1,0,0)*'Expenses (3)'!$D$14,0)+IF(AD$5&lt;65,CHOOSE(MATCH('Expenses (3)'!$B$23,Tables!$L$38:$L$40),1,1,0.5)*'Expenses (3)'!$C$14+CHOOSE(MATCH('Expenses (3)'!$B$23,Tables!$L$38:$L$40),1,0,0)*'Expenses (3)'!$D$14,0)+IF(AD$4&gt;=65,CHOOSE(MATCH('Expenses (3)'!$B$23,Tables!$L$38:$L$40),1,1,0.5)*'Expenses (3)'!$C$16+CHOOSE(MATCH('Expenses (3)'!$B$23,Tables!$L$38:$L$40),1,0.5,0)*'Expenses (3)'!$D$16,0)+IF(AD$5&gt;=65,CHOOSE(MATCH('Expenses (3)'!$B$23,Tables!$L$38:$L$40),1,1,0.5)*'Expenses (3)'!$C$16+CHOOSE(MATCH('Expenses (3)'!$B$23,Tables!$L$38:$L$40),1,0.5,0)*'Expenses (3)'!$D$16,0))*(1+AD$9)^AD$1</f>
        <v>14264.465239671474</v>
      </c>
      <c r="AE38" s="48">
        <f>(IF(AE$4&lt;65,CHOOSE(MATCH('Expenses (3)'!$B$23,Tables!$L$38:$L$40),1,1,0.5)*'Expenses (3)'!$C$14+CHOOSE(MATCH('Expenses (3)'!$B$23,Tables!$L$38:$L$40),1,0,0)*'Expenses (3)'!$D$14,0)+IF(AE$5&lt;65,CHOOSE(MATCH('Expenses (3)'!$B$23,Tables!$L$38:$L$40),1,1,0.5)*'Expenses (3)'!$C$14+CHOOSE(MATCH('Expenses (3)'!$B$23,Tables!$L$38:$L$40),1,0,0)*'Expenses (3)'!$D$14,0)+IF(AE$4&gt;=65,CHOOSE(MATCH('Expenses (3)'!$B$23,Tables!$L$38:$L$40),1,1,0.5)*'Expenses (3)'!$C$16+CHOOSE(MATCH('Expenses (3)'!$B$23,Tables!$L$38:$L$40),1,0.5,0)*'Expenses (3)'!$D$16,0)+IF(AE$5&gt;=65,CHOOSE(MATCH('Expenses (3)'!$B$23,Tables!$L$38:$L$40),1,1,0.5)*'Expenses (3)'!$C$16+CHOOSE(MATCH('Expenses (3)'!$B$23,Tables!$L$38:$L$40),1,0.5,0)*'Expenses (3)'!$D$16,0))*(1+AE$9)^AE$1</f>
        <v>14906.366175456686</v>
      </c>
      <c r="AF38" s="48">
        <f>(IF(AF$4&lt;65,CHOOSE(MATCH('Expenses (3)'!$B$23,Tables!$L$38:$L$40),1,1,0.5)*'Expenses (3)'!$C$14+CHOOSE(MATCH('Expenses (3)'!$B$23,Tables!$L$38:$L$40),1,0,0)*'Expenses (3)'!$D$14,0)+IF(AF$5&lt;65,CHOOSE(MATCH('Expenses (3)'!$B$23,Tables!$L$38:$L$40),1,1,0.5)*'Expenses (3)'!$C$14+CHOOSE(MATCH('Expenses (3)'!$B$23,Tables!$L$38:$L$40),1,0,0)*'Expenses (3)'!$D$14,0)+IF(AF$4&gt;=65,CHOOSE(MATCH('Expenses (3)'!$B$23,Tables!$L$38:$L$40),1,1,0.5)*'Expenses (3)'!$C$16+CHOOSE(MATCH('Expenses (3)'!$B$23,Tables!$L$38:$L$40),1,0.5,0)*'Expenses (3)'!$D$16,0)+IF(AF$5&gt;=65,CHOOSE(MATCH('Expenses (3)'!$B$23,Tables!$L$38:$L$40),1,1,0.5)*'Expenses (3)'!$C$16+CHOOSE(MATCH('Expenses (3)'!$B$23,Tables!$L$38:$L$40),1,0.5,0)*'Expenses (3)'!$D$16,0))*(1+AF$9)^AF$1</f>
        <v>15577.152653352239</v>
      </c>
      <c r="AG38" s="48">
        <f>(IF(AG$4&lt;65,CHOOSE(MATCH('Expenses (3)'!$B$23,Tables!$L$38:$L$40),1,1,0.5)*'Expenses (3)'!$C$14+CHOOSE(MATCH('Expenses (3)'!$B$23,Tables!$L$38:$L$40),1,0,0)*'Expenses (3)'!$D$14,0)+IF(AG$5&lt;65,CHOOSE(MATCH('Expenses (3)'!$B$23,Tables!$L$38:$L$40),1,1,0.5)*'Expenses (3)'!$C$14+CHOOSE(MATCH('Expenses (3)'!$B$23,Tables!$L$38:$L$40),1,0,0)*'Expenses (3)'!$D$14,0)+IF(AG$4&gt;=65,CHOOSE(MATCH('Expenses (3)'!$B$23,Tables!$L$38:$L$40),1,1,0.5)*'Expenses (3)'!$C$16+CHOOSE(MATCH('Expenses (3)'!$B$23,Tables!$L$38:$L$40),1,0.5,0)*'Expenses (3)'!$D$16,0)+IF(AG$5&gt;=65,CHOOSE(MATCH('Expenses (3)'!$B$23,Tables!$L$38:$L$40),1,1,0.5)*'Expenses (3)'!$C$16+CHOOSE(MATCH('Expenses (3)'!$B$23,Tables!$L$38:$L$40),1,0.5,0)*'Expenses (3)'!$D$16,0))*(1+AG$9)^AG$1</f>
        <v>16278.124522753082</v>
      </c>
      <c r="AH38" s="48">
        <f>(IF(AH$4&lt;65,CHOOSE(MATCH('Expenses (3)'!$B$23,Tables!$L$38:$L$40),1,1,0.5)*'Expenses (3)'!$C$14+CHOOSE(MATCH('Expenses (3)'!$B$23,Tables!$L$38:$L$40),1,0,0)*'Expenses (3)'!$D$14,0)+IF(AH$5&lt;65,CHOOSE(MATCH('Expenses (3)'!$B$23,Tables!$L$38:$L$40),1,1,0.5)*'Expenses (3)'!$C$14+CHOOSE(MATCH('Expenses (3)'!$B$23,Tables!$L$38:$L$40),1,0,0)*'Expenses (3)'!$D$14,0)+IF(AH$4&gt;=65,CHOOSE(MATCH('Expenses (3)'!$B$23,Tables!$L$38:$L$40),1,1,0.5)*'Expenses (3)'!$C$16+CHOOSE(MATCH('Expenses (3)'!$B$23,Tables!$L$38:$L$40),1,0.5,0)*'Expenses (3)'!$D$16,0)+IF(AH$5&gt;=65,CHOOSE(MATCH('Expenses (3)'!$B$23,Tables!$L$38:$L$40),1,1,0.5)*'Expenses (3)'!$C$16+CHOOSE(MATCH('Expenses (3)'!$B$23,Tables!$L$38:$L$40),1,0.5,0)*'Expenses (3)'!$D$16,0))*(1+AH$9)^AH$1</f>
        <v>17010.640126276969</v>
      </c>
      <c r="AI38" s="48">
        <f>(IF(AI$4&lt;65,CHOOSE(MATCH('Expenses (3)'!$B$23,Tables!$L$38:$L$40),1,1,0.5)*'Expenses (3)'!$C$14+CHOOSE(MATCH('Expenses (3)'!$B$23,Tables!$L$38:$L$40),1,0,0)*'Expenses (3)'!$D$14,0)+IF(AI$5&lt;65,CHOOSE(MATCH('Expenses (3)'!$B$23,Tables!$L$38:$L$40),1,1,0.5)*'Expenses (3)'!$C$14+CHOOSE(MATCH('Expenses (3)'!$B$23,Tables!$L$38:$L$40),1,0,0)*'Expenses (3)'!$D$14,0)+IF(AI$4&gt;=65,CHOOSE(MATCH('Expenses (3)'!$B$23,Tables!$L$38:$L$40),1,1,0.5)*'Expenses (3)'!$C$16+CHOOSE(MATCH('Expenses (3)'!$B$23,Tables!$L$38:$L$40),1,0.5,0)*'Expenses (3)'!$D$16,0)+IF(AI$5&gt;=65,CHOOSE(MATCH('Expenses (3)'!$B$23,Tables!$L$38:$L$40),1,1,0.5)*'Expenses (3)'!$C$16+CHOOSE(MATCH('Expenses (3)'!$B$23,Tables!$L$38:$L$40),1,0.5,0)*'Expenses (3)'!$D$16,0))*(1+AI$9)^AI$1</f>
        <v>17776.11893195943</v>
      </c>
      <c r="AJ38" s="48">
        <f>(IF(AJ$4&lt;65,CHOOSE(MATCH('Expenses (3)'!$B$23,Tables!$L$38:$L$40),1,1,0.5)*'Expenses (3)'!$C$14+CHOOSE(MATCH('Expenses (3)'!$B$23,Tables!$L$38:$L$40),1,0,0)*'Expenses (3)'!$D$14,0)+IF(AJ$5&lt;65,CHOOSE(MATCH('Expenses (3)'!$B$23,Tables!$L$38:$L$40),1,1,0.5)*'Expenses (3)'!$C$14+CHOOSE(MATCH('Expenses (3)'!$B$23,Tables!$L$38:$L$40),1,0,0)*'Expenses (3)'!$D$14,0)+IF(AJ$4&gt;=65,CHOOSE(MATCH('Expenses (3)'!$B$23,Tables!$L$38:$L$40),1,1,0.5)*'Expenses (3)'!$C$16+CHOOSE(MATCH('Expenses (3)'!$B$23,Tables!$L$38:$L$40),1,0.5,0)*'Expenses (3)'!$D$16,0)+IF(AJ$5&gt;=65,CHOOSE(MATCH('Expenses (3)'!$B$23,Tables!$L$38:$L$40),1,1,0.5)*'Expenses (3)'!$C$16+CHOOSE(MATCH('Expenses (3)'!$B$23,Tables!$L$38:$L$40),1,0.5,0)*'Expenses (3)'!$D$16,0))*(1+AJ$9)^AJ$1</f>
        <v>18576.044283897601</v>
      </c>
    </row>
    <row r="39" spans="1:36" ht="24" customHeight="1" x14ac:dyDescent="0.2">
      <c r="A39" s="1" t="s">
        <v>164</v>
      </c>
      <c r="B39" s="4">
        <f t="shared" ref="B39:AJ39" si="19">MIN(B23,SUM(B37:B38))</f>
        <v>0</v>
      </c>
      <c r="C39" s="4">
        <f t="shared" si="19"/>
        <v>0</v>
      </c>
      <c r="D39" s="4">
        <f t="shared" si="19"/>
        <v>0</v>
      </c>
      <c r="E39" s="4">
        <f t="shared" si="19"/>
        <v>0</v>
      </c>
      <c r="F39" s="4">
        <f t="shared" si="19"/>
        <v>0</v>
      </c>
      <c r="G39" s="4">
        <f t="shared" si="19"/>
        <v>0</v>
      </c>
      <c r="H39" s="4">
        <f t="shared" si="19"/>
        <v>0</v>
      </c>
      <c r="I39" s="4">
        <f t="shared" si="19"/>
        <v>0</v>
      </c>
      <c r="J39" s="4">
        <f t="shared" si="19"/>
        <v>0</v>
      </c>
      <c r="K39" s="4">
        <f t="shared" si="19"/>
        <v>0</v>
      </c>
      <c r="L39" s="4">
        <f t="shared" si="19"/>
        <v>0</v>
      </c>
      <c r="M39" s="4">
        <f t="shared" si="19"/>
        <v>0</v>
      </c>
      <c r="N39" s="4">
        <f t="shared" si="19"/>
        <v>0</v>
      </c>
      <c r="O39" s="4">
        <f t="shared" si="19"/>
        <v>0</v>
      </c>
      <c r="P39" s="4">
        <f t="shared" si="19"/>
        <v>0</v>
      </c>
      <c r="Q39" s="4">
        <f t="shared" si="19"/>
        <v>0</v>
      </c>
      <c r="R39" s="4">
        <f t="shared" si="19"/>
        <v>0</v>
      </c>
      <c r="S39" s="4">
        <f t="shared" si="19"/>
        <v>0</v>
      </c>
      <c r="T39" s="4">
        <f t="shared" si="19"/>
        <v>0</v>
      </c>
      <c r="U39" s="4">
        <f t="shared" si="19"/>
        <v>0</v>
      </c>
      <c r="V39" s="4">
        <f t="shared" si="19"/>
        <v>0</v>
      </c>
      <c r="W39" s="4">
        <f t="shared" si="19"/>
        <v>0</v>
      </c>
      <c r="X39" s="4">
        <f t="shared" si="19"/>
        <v>0</v>
      </c>
      <c r="Y39" s="4">
        <f t="shared" si="19"/>
        <v>0</v>
      </c>
      <c r="Z39" s="4">
        <f t="shared" si="19"/>
        <v>0</v>
      </c>
      <c r="AA39" s="4">
        <f t="shared" si="19"/>
        <v>0</v>
      </c>
      <c r="AB39" s="4">
        <f t="shared" si="19"/>
        <v>0</v>
      </c>
      <c r="AC39" s="4">
        <f t="shared" si="19"/>
        <v>0</v>
      </c>
      <c r="AD39" s="4">
        <f t="shared" si="19"/>
        <v>0</v>
      </c>
      <c r="AE39" s="4">
        <f t="shared" si="19"/>
        <v>0</v>
      </c>
      <c r="AF39" s="4">
        <f t="shared" si="19"/>
        <v>0</v>
      </c>
      <c r="AG39" s="4">
        <f t="shared" si="19"/>
        <v>0</v>
      </c>
      <c r="AH39" s="4">
        <f t="shared" si="19"/>
        <v>0</v>
      </c>
      <c r="AI39" s="4">
        <f t="shared" si="19"/>
        <v>0</v>
      </c>
      <c r="AJ39" s="4">
        <f t="shared" si="19"/>
        <v>0</v>
      </c>
    </row>
    <row r="40" spans="1:36" ht="24" customHeight="1" x14ac:dyDescent="0.2">
      <c r="A40" s="1"/>
      <c r="B40" s="2"/>
    </row>
    <row r="41" spans="1:36" ht="24" customHeight="1" x14ac:dyDescent="0.2">
      <c r="A41" s="22" t="s">
        <v>273</v>
      </c>
      <c r="B41" s="24">
        <f>CHOOSE(MATCH('Total Income'!$A$26,Tables!$L$32:$L$35,0),MAX(0,SUM(B42:B43)),B44,B45,B46)</f>
        <v>0</v>
      </c>
      <c r="C41" s="24">
        <f>CHOOSE(MATCH('Total Income'!$A$26,Tables!$L$32:$L$35,0),MAX(0,SUM(C42:C43)),C44,C45,C46)</f>
        <v>0</v>
      </c>
      <c r="D41" s="24">
        <f>CHOOSE(MATCH('Total Income'!$A$26,Tables!$L$32:$L$35,0),MAX(0,SUM(D42:D43)),D44,D45,D46)</f>
        <v>0</v>
      </c>
      <c r="E41" s="24">
        <f>CHOOSE(MATCH('Total Income'!$A$26,Tables!$L$32:$L$35,0),MAX(0,SUM(E42:E43)),E44,E45,E46)</f>
        <v>0</v>
      </c>
      <c r="F41" s="24">
        <f>CHOOSE(MATCH('Total Income'!$A$26,Tables!$L$32:$L$35,0),MAX(0,SUM(F42:F43)),F44,F45,F46)</f>
        <v>0</v>
      </c>
      <c r="G41" s="24">
        <f>CHOOSE(MATCH('Total Income'!$A$26,Tables!$L$32:$L$35,0),MAX(0,SUM(G42:G43)),G44,G45,G46)</f>
        <v>0</v>
      </c>
      <c r="H41" s="24">
        <f>CHOOSE(MATCH('Total Income'!$A$26,Tables!$L$32:$L$35,0),MAX(0,SUM(H42:H43)),H44,H45,H46)</f>
        <v>0</v>
      </c>
      <c r="I41" s="24">
        <f>CHOOSE(MATCH('Total Income'!$A$26,Tables!$L$32:$L$35,0),MAX(0,SUM(I42:I43)),I44,I45,I46)</f>
        <v>0</v>
      </c>
      <c r="J41" s="24">
        <f>CHOOSE(MATCH('Total Income'!$A$26,Tables!$L$32:$L$35,0),MAX(0,SUM(J42:J43)),J44,J45,J46)</f>
        <v>0</v>
      </c>
      <c r="K41" s="24">
        <f>CHOOSE(MATCH('Total Income'!$A$26,Tables!$L$32:$L$35,0),MAX(0,SUM(K42:K43)),K44,K45,K46)</f>
        <v>0</v>
      </c>
      <c r="L41" s="24">
        <f>CHOOSE(MATCH('Total Income'!$A$26,Tables!$L$32:$L$35,0),MAX(0,SUM(L42:L43)),L44,L45,L46)</f>
        <v>0</v>
      </c>
      <c r="M41" s="24">
        <f>CHOOSE(MATCH('Total Income'!$A$26,Tables!$L$32:$L$35,0),MAX(0,SUM(M42:M43)),M44,M45,M46)</f>
        <v>0</v>
      </c>
      <c r="N41" s="24">
        <f>CHOOSE(MATCH('Total Income'!$A$26,Tables!$L$32:$L$35,0),MAX(0,SUM(N42:N43)),N44,N45,N46)</f>
        <v>0</v>
      </c>
      <c r="O41" s="24">
        <f>CHOOSE(MATCH('Total Income'!$A$26,Tables!$L$32:$L$35,0),MAX(0,SUM(O42:O43)),O44,O45,O46)</f>
        <v>0</v>
      </c>
      <c r="P41" s="24">
        <f>CHOOSE(MATCH('Total Income'!$A$26,Tables!$L$32:$L$35,0),MAX(0,SUM(P42:P43)),P44,P45,P46)</f>
        <v>0</v>
      </c>
      <c r="Q41" s="24">
        <f>CHOOSE(MATCH('Total Income'!$A$26,Tables!$L$32:$L$35,0),MAX(0,SUM(Q42:Q43)),Q44,Q45,Q46)</f>
        <v>0</v>
      </c>
      <c r="R41" s="24">
        <f>CHOOSE(MATCH('Total Income'!$A$26,Tables!$L$32:$L$35,0),MAX(0,SUM(R42:R43)),R44,R45,R46)</f>
        <v>0</v>
      </c>
      <c r="S41" s="24">
        <f>CHOOSE(MATCH('Total Income'!$A$26,Tables!$L$32:$L$35,0),MAX(0,SUM(S42:S43)),S44,S45,S46)</f>
        <v>0</v>
      </c>
      <c r="T41" s="24">
        <f>CHOOSE(MATCH('Total Income'!$A$26,Tables!$L$32:$L$35,0),MAX(0,SUM(T42:T43)),T44,T45,T46)</f>
        <v>0</v>
      </c>
      <c r="U41" s="24">
        <f>CHOOSE(MATCH('Total Income'!$A$26,Tables!$L$32:$L$35,0),MAX(0,SUM(U42:U43)),U44,U45,U46)</f>
        <v>0</v>
      </c>
      <c r="V41" s="24">
        <f>CHOOSE(MATCH('Total Income'!$A$26,Tables!$L$32:$L$35,0),MAX(0,SUM(V42:V43)),V44,V45,V46)</f>
        <v>0</v>
      </c>
      <c r="W41" s="24">
        <f>CHOOSE(MATCH('Total Income'!$A$26,Tables!$L$32:$L$35,0),MAX(0,SUM(W42:W43)),W44,W45,W46)</f>
        <v>0</v>
      </c>
      <c r="X41" s="24">
        <f>CHOOSE(MATCH('Total Income'!$A$26,Tables!$L$32:$L$35,0),MAX(0,SUM(X42:X43)),X44,X45,X46)</f>
        <v>0</v>
      </c>
      <c r="Y41" s="24">
        <f>CHOOSE(MATCH('Total Income'!$A$26,Tables!$L$32:$L$35,0),MAX(0,SUM(Y42:Y43)),Y44,Y45,Y46)</f>
        <v>0</v>
      </c>
      <c r="Z41" s="24">
        <f>CHOOSE(MATCH('Total Income'!$A$26,Tables!$L$32:$L$35,0),MAX(0,SUM(Z42:Z43)),Z44,Z45,Z46)</f>
        <v>0</v>
      </c>
      <c r="AA41" s="24">
        <f>CHOOSE(MATCH('Total Income'!$A$26,Tables!$L$32:$L$35,0),MAX(0,SUM(AA42:AA43)),AA44,AA45,AA46)</f>
        <v>0</v>
      </c>
      <c r="AB41" s="24">
        <f>CHOOSE(MATCH('Total Income'!$A$26,Tables!$L$32:$L$35,0),MAX(0,SUM(AB42:AB43)),AB44,AB45,AB46)</f>
        <v>0</v>
      </c>
      <c r="AC41" s="24">
        <f>CHOOSE(MATCH('Total Income'!$A$26,Tables!$L$32:$L$35,0),MAX(0,SUM(AC42:AC43)),AC44,AC45,AC46)</f>
        <v>0</v>
      </c>
      <c r="AD41" s="24">
        <f>CHOOSE(MATCH('Total Income'!$A$26,Tables!$L$32:$L$35,0),MAX(0,SUM(AD42:AD43)),AD44,AD45,AD46)</f>
        <v>0</v>
      </c>
      <c r="AE41" s="24">
        <f>CHOOSE(MATCH('Total Income'!$A$26,Tables!$L$32:$L$35,0),MAX(0,SUM(AE42:AE43)),AE44,AE45,AE46)</f>
        <v>0</v>
      </c>
      <c r="AF41" s="24">
        <f>CHOOSE(MATCH('Total Income'!$A$26,Tables!$L$32:$L$35,0),MAX(0,SUM(AF42:AF43)),AF44,AF45,AF46)</f>
        <v>0</v>
      </c>
      <c r="AG41" s="24">
        <f>CHOOSE(MATCH('Total Income'!$A$26,Tables!$L$32:$L$35,0),MAX(0,SUM(AG42:AG43)),AG44,AG45,AG46)</f>
        <v>0</v>
      </c>
      <c r="AH41" s="24">
        <f>CHOOSE(MATCH('Total Income'!$A$26,Tables!$L$32:$L$35,0),MAX(0,SUM(AH42:AH43)),AH44,AH45,AH46)</f>
        <v>0</v>
      </c>
      <c r="AI41" s="24">
        <f>CHOOSE(MATCH('Total Income'!$A$26,Tables!$L$32:$L$35,0),MAX(0,SUM(AI42:AI43)),AI44,AI45,AI46)</f>
        <v>0</v>
      </c>
      <c r="AJ41" s="24">
        <f>CHOOSE(MATCH('Total Income'!$A$26,Tables!$L$32:$L$35,0),MAX(0,SUM(AJ42:AJ43)),AJ44,AJ45,AJ46)</f>
        <v>0</v>
      </c>
    </row>
    <row r="42" spans="1:36" ht="24" customHeight="1" x14ac:dyDescent="0.2">
      <c r="A42" s="3" t="s">
        <v>143</v>
      </c>
      <c r="B42" s="4">
        <f t="shared" ref="B42:O42" ca="1" si="20">B27-B16-B29</f>
        <v>8100</v>
      </c>
      <c r="C42" s="4">
        <f t="shared" ca="1" si="20"/>
        <v>8302.5</v>
      </c>
      <c r="D42" s="4">
        <f t="shared" ca="1" si="20"/>
        <v>8510.0625000000036</v>
      </c>
      <c r="E42" s="4">
        <f t="shared" ca="1" si="20"/>
        <v>8722.8140625000015</v>
      </c>
      <c r="F42" s="4">
        <f t="shared" ca="1" si="20"/>
        <v>8940.8844140625006</v>
      </c>
      <c r="G42" s="4">
        <f t="shared" ca="1" si="20"/>
        <v>9164.4065244140584</v>
      </c>
      <c r="H42" s="4">
        <f t="shared" ca="1" si="20"/>
        <v>9393.5166875244104</v>
      </c>
      <c r="I42" s="4">
        <f t="shared" ca="1" si="20"/>
        <v>9628.3546047125201</v>
      </c>
      <c r="J42" s="4">
        <f t="shared" ca="1" si="20"/>
        <v>9869.0634698303329</v>
      </c>
      <c r="K42" s="4">
        <f t="shared" ca="1" si="20"/>
        <v>10115.79005657609</v>
      </c>
      <c r="L42" s="4">
        <f t="shared" ca="1" si="20"/>
        <v>10368.684807990492</v>
      </c>
      <c r="M42" s="4">
        <f t="shared" ca="1" si="20"/>
        <v>10627.901928190251</v>
      </c>
      <c r="N42" s="4">
        <f t="shared" ca="1" si="20"/>
        <v>10893.599476395004</v>
      </c>
      <c r="O42" s="4">
        <f t="shared" ca="1" si="20"/>
        <v>11165.939463304883</v>
      </c>
      <c r="P42" s="4">
        <f ca="1">P27-P16-P29</f>
        <v>11445.087949887504</v>
      </c>
      <c r="Q42" s="4">
        <f t="shared" ref="Q42:AJ42" ca="1" si="21">Q27-Q16-Q29</f>
        <v>11731.215148634685</v>
      </c>
      <c r="R42" s="4">
        <f t="shared" ca="1" si="21"/>
        <v>12024.495527350555</v>
      </c>
      <c r="S42" s="4">
        <f t="shared" ca="1" si="21"/>
        <v>12325.107915534318</v>
      </c>
      <c r="T42" s="4">
        <f t="shared" ca="1" si="21"/>
        <v>12380.57090115422</v>
      </c>
      <c r="U42" s="4">
        <f t="shared" ca="1" si="21"/>
        <v>12436.283470209411</v>
      </c>
      <c r="V42" s="4">
        <f t="shared" ca="1" si="21"/>
        <v>12492.246745825352</v>
      </c>
      <c r="W42" s="4">
        <f t="shared" ca="1" si="21"/>
        <v>12548.461856181566</v>
      </c>
      <c r="X42" s="4">
        <f t="shared" ca="1" si="21"/>
        <v>12604.929934534382</v>
      </c>
      <c r="Y42" s="4">
        <f t="shared" ca="1" si="21"/>
        <v>12661.652119239792</v>
      </c>
      <c r="Z42" s="4">
        <f t="shared" ca="1" si="21"/>
        <v>12718.629553776365</v>
      </c>
      <c r="AA42" s="4">
        <f t="shared" ca="1" si="21"/>
        <v>12775.86338676836</v>
      </c>
      <c r="AB42" s="4">
        <f t="shared" ca="1" si="21"/>
        <v>12833.354772008817</v>
      </c>
      <c r="AC42" s="4">
        <f t="shared" ca="1" si="21"/>
        <v>12891.104868482849</v>
      </c>
      <c r="AD42" s="4">
        <f t="shared" ca="1" si="21"/>
        <v>12949.114840391027</v>
      </c>
      <c r="AE42" s="4">
        <f t="shared" ca="1" si="21"/>
        <v>13007.385857172783</v>
      </c>
      <c r="AF42" s="4">
        <f t="shared" ca="1" si="21"/>
        <v>13065.919093530065</v>
      </c>
      <c r="AG42" s="4">
        <f t="shared" ca="1" si="21"/>
        <v>13124.715729450945</v>
      </c>
      <c r="AH42" s="4">
        <f t="shared" ca="1" si="21"/>
        <v>13183.77695023347</v>
      </c>
      <c r="AI42" s="4">
        <f t="shared" ca="1" si="21"/>
        <v>13243.103946509524</v>
      </c>
      <c r="AJ42" s="4">
        <f t="shared" ca="1" si="21"/>
        <v>13302.697914268814</v>
      </c>
    </row>
    <row r="43" spans="1:36" ht="24" customHeight="1" x14ac:dyDescent="0.2">
      <c r="A43" s="3" t="s">
        <v>142</v>
      </c>
      <c r="B43" s="4">
        <f>MAX(0,B35-B39)</f>
        <v>28633</v>
      </c>
      <c r="C43" s="4">
        <f t="shared" ref="C43:AJ43" si="22">MAX(0,C35-C39)</f>
        <v>29921.484999999993</v>
      </c>
      <c r="D43" s="4">
        <f t="shared" si="22"/>
        <v>31267.951824999993</v>
      </c>
      <c r="E43" s="4">
        <f t="shared" si="22"/>
        <v>32675.009657124989</v>
      </c>
      <c r="F43" s="4">
        <f t="shared" si="22"/>
        <v>34145.385091695607</v>
      </c>
      <c r="G43" s="4">
        <f t="shared" si="22"/>
        <v>17684.692495429248</v>
      </c>
      <c r="H43" s="4">
        <f t="shared" si="22"/>
        <v>18480.503657723566</v>
      </c>
      <c r="I43" s="4">
        <f t="shared" si="22"/>
        <v>19312.126322321121</v>
      </c>
      <c r="J43" s="4">
        <f t="shared" si="22"/>
        <v>20181.172006825571</v>
      </c>
      <c r="K43" s="4">
        <f t="shared" si="22"/>
        <v>21089.324747132719</v>
      </c>
      <c r="L43" s="4">
        <f t="shared" si="22"/>
        <v>22038.34436075369</v>
      </c>
      <c r="M43" s="4">
        <f t="shared" si="22"/>
        <v>23030.069856987604</v>
      </c>
      <c r="N43" s="4">
        <f t="shared" si="22"/>
        <v>24066.423000552048</v>
      </c>
      <c r="O43" s="4">
        <f t="shared" si="22"/>
        <v>25149.412035576879</v>
      </c>
      <c r="P43" s="4">
        <f t="shared" si="22"/>
        <v>26281.135577177844</v>
      </c>
      <c r="Q43" s="4">
        <f t="shared" si="22"/>
        <v>27463.786678150835</v>
      </c>
      <c r="R43" s="4">
        <f t="shared" si="22"/>
        <v>28699.657078667624</v>
      </c>
      <c r="S43" s="4">
        <f t="shared" si="22"/>
        <v>29991.14164720766</v>
      </c>
      <c r="T43" s="4">
        <f t="shared" si="22"/>
        <v>31340.743021332004</v>
      </c>
      <c r="U43" s="4">
        <f t="shared" si="22"/>
        <v>32751.076457291936</v>
      </c>
      <c r="V43" s="4">
        <f t="shared" si="22"/>
        <v>34224.874897870075</v>
      </c>
      <c r="W43" s="4">
        <f t="shared" si="22"/>
        <v>35764.994268274211</v>
      </c>
      <c r="X43" s="4">
        <f t="shared" si="22"/>
        <v>37374.419010346559</v>
      </c>
      <c r="Y43" s="4">
        <f t="shared" si="22"/>
        <v>39056.267865812144</v>
      </c>
      <c r="Z43" s="4">
        <f t="shared" si="22"/>
        <v>40813.799919773686</v>
      </c>
      <c r="AA43" s="4">
        <f t="shared" si="22"/>
        <v>42650.420916163494</v>
      </c>
      <c r="AB43" s="4">
        <f t="shared" si="22"/>
        <v>44569.689857390855</v>
      </c>
      <c r="AC43" s="4">
        <f t="shared" si="22"/>
        <v>46575.325900973425</v>
      </c>
      <c r="AD43" s="4">
        <f t="shared" si="22"/>
        <v>48671.215566517239</v>
      </c>
      <c r="AE43" s="4">
        <f t="shared" si="22"/>
        <v>50861.420267010501</v>
      </c>
      <c r="AF43" s="4">
        <f t="shared" si="22"/>
        <v>53150.184179025986</v>
      </c>
      <c r="AG43" s="4">
        <f t="shared" si="22"/>
        <v>55541.942467082124</v>
      </c>
      <c r="AH43" s="4">
        <f t="shared" si="22"/>
        <v>58041.329878100805</v>
      </c>
      <c r="AI43" s="4">
        <f t="shared" si="22"/>
        <v>60653.189722615338</v>
      </c>
      <c r="AJ43" s="4">
        <f t="shared" si="22"/>
        <v>63382.583260133026</v>
      </c>
    </row>
    <row r="44" spans="1:36" ht="24" customHeight="1" x14ac:dyDescent="0.2">
      <c r="A44" s="1" t="s">
        <v>171</v>
      </c>
      <c r="B44" s="2">
        <f>B$22/VLOOKUP(B$4,Tables!$A$5:$J$55,10)</f>
        <v>0</v>
      </c>
      <c r="C44" s="2">
        <f>C$22/VLOOKUP(C$4,Tables!$A$5:$J$55,10)</f>
        <v>0</v>
      </c>
      <c r="D44" s="2">
        <f>D$22/VLOOKUP(D$4,Tables!$A$5:$J$55,10)</f>
        <v>0</v>
      </c>
      <c r="E44" s="2">
        <f>E$22/VLOOKUP(E$4,Tables!$A$5:$J$55,10)</f>
        <v>0</v>
      </c>
      <c r="F44" s="2">
        <f>F$22/VLOOKUP(F$4,Tables!$A$5:$J$55,10)</f>
        <v>0</v>
      </c>
      <c r="G44" s="2">
        <f>G$22/VLOOKUP(G$4,Tables!$A$5:$J$55,10)</f>
        <v>0</v>
      </c>
      <c r="H44" s="2">
        <f>H$22/VLOOKUP(H$4,Tables!$A$5:$J$55,10)</f>
        <v>0</v>
      </c>
      <c r="I44" s="2">
        <f>I$22/VLOOKUP(I$4,Tables!$A$5:$J$55,10)</f>
        <v>0</v>
      </c>
      <c r="J44" s="2">
        <f>J$22/VLOOKUP(J$4,Tables!$A$5:$J$55,10)</f>
        <v>0</v>
      </c>
      <c r="K44" s="2">
        <f>K$22/VLOOKUP(K$4,Tables!$A$5:$J$55,10)</f>
        <v>0</v>
      </c>
      <c r="L44" s="2">
        <f>L$22/VLOOKUP(L$4,Tables!$A$5:$J$55,10)</f>
        <v>0</v>
      </c>
      <c r="M44" s="2">
        <f>M$22/VLOOKUP(M$4,Tables!$A$5:$J$55,10)</f>
        <v>0</v>
      </c>
      <c r="N44" s="2">
        <f>N$22/VLOOKUP(N$4,Tables!$A$5:$J$55,10)</f>
        <v>0</v>
      </c>
      <c r="O44" s="2">
        <f>O$22/VLOOKUP(O$4,Tables!$A$5:$J$55,10)</f>
        <v>0</v>
      </c>
      <c r="P44" s="2">
        <f>P$22/VLOOKUP(P$4,Tables!$A$5:$J$55,10)</f>
        <v>0</v>
      </c>
      <c r="Q44" s="2">
        <f>Q$22/VLOOKUP(Q$4,Tables!$A$5:$J$55,10)</f>
        <v>0</v>
      </c>
      <c r="R44" s="2">
        <f>R$22/VLOOKUP(R$4,Tables!$A$5:$J$55,10)</f>
        <v>0</v>
      </c>
      <c r="S44" s="2">
        <f>S$22/VLOOKUP(S$4,Tables!$A$5:$J$55,10)</f>
        <v>0</v>
      </c>
      <c r="T44" s="2">
        <f>T$22/VLOOKUP(T$4,Tables!$A$5:$J$55,10)</f>
        <v>0</v>
      </c>
      <c r="U44" s="2">
        <f>U$22/VLOOKUP(U$4,Tables!$A$5:$J$55,10)</f>
        <v>0</v>
      </c>
      <c r="V44" s="2">
        <f>V$22/VLOOKUP(V$4,Tables!$A$5:$J$55,10)</f>
        <v>0</v>
      </c>
      <c r="W44" s="2">
        <f>W$22/VLOOKUP(W$4,Tables!$A$5:$J$55,10)</f>
        <v>0</v>
      </c>
      <c r="X44" s="2">
        <f>X$22/VLOOKUP(X$4,Tables!$A$5:$J$55,10)</f>
        <v>0</v>
      </c>
      <c r="Y44" s="2">
        <f>Y$22/VLOOKUP(Y$4,Tables!$A$5:$J$55,10)</f>
        <v>0</v>
      </c>
      <c r="Z44" s="2">
        <f>Z$22/VLOOKUP(Z$4,Tables!$A$5:$J$55,10)</f>
        <v>0</v>
      </c>
      <c r="AA44" s="2">
        <f>AA$22/VLOOKUP(AA$4,Tables!$A$5:$J$55,10)</f>
        <v>0</v>
      </c>
      <c r="AB44" s="2">
        <f>AB$22/VLOOKUP(AB$4,Tables!$A$5:$J$55,10)</f>
        <v>0</v>
      </c>
      <c r="AC44" s="2">
        <f>AC$22/VLOOKUP(AC$4,Tables!$A$5:$J$55,10)</f>
        <v>0</v>
      </c>
      <c r="AD44" s="2">
        <f>AD$22/VLOOKUP(AD$4,Tables!$A$5:$J$55,10)</f>
        <v>0</v>
      </c>
      <c r="AE44" s="2">
        <f>AE$22/VLOOKUP(AE$4,Tables!$A$5:$J$55,10)</f>
        <v>0</v>
      </c>
      <c r="AF44" s="2">
        <f>AF$22/VLOOKUP(AF$4,Tables!$A$5:$J$55,10)</f>
        <v>0</v>
      </c>
      <c r="AG44" s="2">
        <f>AG$22/VLOOKUP(AG$4,Tables!$A$5:$J$55,10)</f>
        <v>0</v>
      </c>
      <c r="AH44" s="2">
        <f>AH$22/VLOOKUP(AH$4,Tables!$A$5:$J$55,10)</f>
        <v>0</v>
      </c>
      <c r="AI44" s="2">
        <f>AI$22/VLOOKUP(AI$4,Tables!$A$5:$J$55,10)</f>
        <v>0</v>
      </c>
      <c r="AJ44" s="2">
        <f>AJ$22/VLOOKUP(AJ$4,Tables!$A$5:$J$55,10)</f>
        <v>0</v>
      </c>
    </row>
    <row r="45" spans="1:36" ht="24" customHeight="1" x14ac:dyDescent="0.2">
      <c r="A45" s="1" t="s">
        <v>385</v>
      </c>
      <c r="B45" s="2">
        <f>'Total Income'!$B$26*Projections!B22</f>
        <v>0</v>
      </c>
      <c r="C45" s="2">
        <f t="shared" ref="C45:AJ45" si="23">B45*(1+B7)</f>
        <v>0</v>
      </c>
      <c r="D45" s="2">
        <f t="shared" si="23"/>
        <v>0</v>
      </c>
      <c r="E45" s="2">
        <f t="shared" si="23"/>
        <v>0</v>
      </c>
      <c r="F45" s="2">
        <f t="shared" si="23"/>
        <v>0</v>
      </c>
      <c r="G45" s="2">
        <f t="shared" si="23"/>
        <v>0</v>
      </c>
      <c r="H45" s="2">
        <f t="shared" si="23"/>
        <v>0</v>
      </c>
      <c r="I45" s="2">
        <f t="shared" si="23"/>
        <v>0</v>
      </c>
      <c r="J45" s="2">
        <f t="shared" si="23"/>
        <v>0</v>
      </c>
      <c r="K45" s="2">
        <f t="shared" si="23"/>
        <v>0</v>
      </c>
      <c r="L45" s="2">
        <f t="shared" si="23"/>
        <v>0</v>
      </c>
      <c r="M45" s="2">
        <f t="shared" si="23"/>
        <v>0</v>
      </c>
      <c r="N45" s="2">
        <f t="shared" si="23"/>
        <v>0</v>
      </c>
      <c r="O45" s="2">
        <f t="shared" si="23"/>
        <v>0</v>
      </c>
      <c r="P45" s="2">
        <f t="shared" si="23"/>
        <v>0</v>
      </c>
      <c r="Q45" s="2">
        <f t="shared" si="23"/>
        <v>0</v>
      </c>
      <c r="R45" s="2">
        <f t="shared" si="23"/>
        <v>0</v>
      </c>
      <c r="S45" s="2">
        <f t="shared" si="23"/>
        <v>0</v>
      </c>
      <c r="T45" s="2">
        <f t="shared" si="23"/>
        <v>0</v>
      </c>
      <c r="U45" s="2">
        <f t="shared" si="23"/>
        <v>0</v>
      </c>
      <c r="V45" s="2">
        <f t="shared" si="23"/>
        <v>0</v>
      </c>
      <c r="W45" s="2">
        <f t="shared" si="23"/>
        <v>0</v>
      </c>
      <c r="X45" s="2">
        <f t="shared" si="23"/>
        <v>0</v>
      </c>
      <c r="Y45" s="2">
        <f t="shared" si="23"/>
        <v>0</v>
      </c>
      <c r="Z45" s="2">
        <f t="shared" si="23"/>
        <v>0</v>
      </c>
      <c r="AA45" s="2">
        <f t="shared" si="23"/>
        <v>0</v>
      </c>
      <c r="AB45" s="2">
        <f t="shared" si="23"/>
        <v>0</v>
      </c>
      <c r="AC45" s="2">
        <f t="shared" si="23"/>
        <v>0</v>
      </c>
      <c r="AD45" s="2">
        <f t="shared" si="23"/>
        <v>0</v>
      </c>
      <c r="AE45" s="2">
        <f t="shared" si="23"/>
        <v>0</v>
      </c>
      <c r="AF45" s="2">
        <f t="shared" si="23"/>
        <v>0</v>
      </c>
      <c r="AG45" s="2">
        <f t="shared" si="23"/>
        <v>0</v>
      </c>
      <c r="AH45" s="2">
        <f t="shared" si="23"/>
        <v>0</v>
      </c>
      <c r="AI45" s="2">
        <f t="shared" si="23"/>
        <v>0</v>
      </c>
      <c r="AJ45" s="2">
        <f t="shared" si="23"/>
        <v>0</v>
      </c>
    </row>
    <row r="46" spans="1:36" ht="24" customHeight="1" x14ac:dyDescent="0.2">
      <c r="A46" s="1" t="s">
        <v>386</v>
      </c>
      <c r="B46" s="2">
        <f>'Total Income'!$C$26*12</f>
        <v>0</v>
      </c>
      <c r="C46" s="2">
        <f>B46*(1+IF('Total Income'!$D$26="Y",B8,0))</f>
        <v>0</v>
      </c>
      <c r="D46" s="2">
        <f>C46*(1+IF('Total Income'!$D$26="Y",C8,0))</f>
        <v>0</v>
      </c>
      <c r="E46" s="2">
        <f>D46*(1+IF('Total Income'!$D$26="Y",D8,0))</f>
        <v>0</v>
      </c>
      <c r="F46" s="2">
        <f>E46*(1+IF('Total Income'!$D$26="Y",E8,0))</f>
        <v>0</v>
      </c>
      <c r="G46" s="2">
        <f>F46*(1+IF('Total Income'!$D$26="Y",F8,0))</f>
        <v>0</v>
      </c>
      <c r="H46" s="2">
        <f>G46*(1+IF('Total Income'!$D$26="Y",G8,0))</f>
        <v>0</v>
      </c>
      <c r="I46" s="2">
        <f>H46*(1+IF('Total Income'!$D$26="Y",H8,0))</f>
        <v>0</v>
      </c>
      <c r="J46" s="2">
        <f>I46*(1+IF('Total Income'!$D$26="Y",I8,0))</f>
        <v>0</v>
      </c>
      <c r="K46" s="2">
        <f>J46*(1+IF('Total Income'!$D$26="Y",J8,0))</f>
        <v>0</v>
      </c>
      <c r="L46" s="2">
        <f>K46*(1+IF('Total Income'!$D$26="Y",K8,0))</f>
        <v>0</v>
      </c>
      <c r="M46" s="2">
        <f>L46*(1+IF('Total Income'!$D$26="Y",L8,0))</f>
        <v>0</v>
      </c>
      <c r="N46" s="2">
        <f>M46*(1+IF('Total Income'!$D$26="Y",M8,0))</f>
        <v>0</v>
      </c>
      <c r="O46" s="2">
        <f>N46*(1+IF('Total Income'!$D$26="Y",N8,0))</f>
        <v>0</v>
      </c>
      <c r="P46" s="2">
        <f>O46*(1+IF('Total Income'!$D$26="Y",O8,0))</f>
        <v>0</v>
      </c>
      <c r="Q46" s="2">
        <f>P46*(1+IF('Total Income'!$D$26="Y",P8,0))</f>
        <v>0</v>
      </c>
      <c r="R46" s="2">
        <f>Q46*(1+IF('Total Income'!$D$26="Y",Q8,0))</f>
        <v>0</v>
      </c>
      <c r="S46" s="2">
        <f>R46*(1+IF('Total Income'!$D$26="Y",R8,0))</f>
        <v>0</v>
      </c>
      <c r="T46" s="2">
        <f>S46*(1+IF('Total Income'!$D$26="Y",S8,0))</f>
        <v>0</v>
      </c>
      <c r="U46" s="2">
        <f>T46*(1+IF('Total Income'!$D$26="Y",T8,0))</f>
        <v>0</v>
      </c>
      <c r="V46" s="2">
        <f>U46*(1+IF('Total Income'!$D$26="Y",U8,0))</f>
        <v>0</v>
      </c>
      <c r="W46" s="2">
        <f>V46*(1+IF('Total Income'!$D$26="Y",V8,0))</f>
        <v>0</v>
      </c>
      <c r="X46" s="2">
        <f>W46*(1+IF('Total Income'!$D$26="Y",W8,0))</f>
        <v>0</v>
      </c>
      <c r="Y46" s="2">
        <f>X46*(1+IF('Total Income'!$D$26="Y",X8,0))</f>
        <v>0</v>
      </c>
      <c r="Z46" s="2">
        <f>Y46*(1+IF('Total Income'!$D$26="Y",Y8,0))</f>
        <v>0</v>
      </c>
      <c r="AA46" s="2">
        <f>Z46*(1+IF('Total Income'!$D$26="Y",Z8,0))</f>
        <v>0</v>
      </c>
      <c r="AB46" s="2">
        <f>AA46*(1+IF('Total Income'!$D$26="Y",AA8,0))</f>
        <v>0</v>
      </c>
      <c r="AC46" s="2">
        <f>AB46*(1+IF('Total Income'!$D$26="Y",AB8,0))</f>
        <v>0</v>
      </c>
      <c r="AD46" s="2">
        <f>AC46*(1+IF('Total Income'!$D$26="Y",AC8,0))</f>
        <v>0</v>
      </c>
      <c r="AE46" s="2">
        <f>AD46*(1+IF('Total Income'!$D$26="Y",AD8,0))</f>
        <v>0</v>
      </c>
      <c r="AF46" s="2">
        <f>AE46*(1+IF('Total Income'!$D$26="Y",AE8,0))</f>
        <v>0</v>
      </c>
      <c r="AG46" s="2">
        <f>AF46*(1+IF('Total Income'!$D$26="Y",AF8,0))</f>
        <v>0</v>
      </c>
      <c r="AH46" s="2">
        <f>AG46*(1+IF('Total Income'!$D$26="Y",AG8,0))</f>
        <v>0</v>
      </c>
      <c r="AI46" s="2">
        <f>AH46*(1+IF('Total Income'!$D$26="Y",AH8,0))</f>
        <v>0</v>
      </c>
      <c r="AJ46" s="2">
        <f>AI46*(1+IF('Total Income'!$D$26="Y",AI8,0))</f>
        <v>0</v>
      </c>
    </row>
    <row r="47" spans="1:36" ht="24" customHeight="1" x14ac:dyDescent="0.2">
      <c r="A47" s="47"/>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row>
    <row r="48" spans="1:36" ht="24" customHeight="1" x14ac:dyDescent="0.2">
      <c r="A48" s="97" t="s">
        <v>400</v>
      </c>
      <c r="B48" s="2">
        <f ca="1">SUM(B16,B66)-0.15*B19+$B$96</f>
        <v>0</v>
      </c>
      <c r="C48" s="2">
        <f t="shared" ref="C48:AJ48" ca="1" si="24">SUM(C16,C66)-0.15*C19</f>
        <v>0</v>
      </c>
      <c r="D48" s="2">
        <f t="shared" ca="1" si="24"/>
        <v>0</v>
      </c>
      <c r="E48" s="2">
        <f t="shared" ca="1" si="24"/>
        <v>0</v>
      </c>
      <c r="F48" s="2">
        <f t="shared" ca="1" si="24"/>
        <v>0</v>
      </c>
      <c r="G48" s="2">
        <f t="shared" ca="1" si="24"/>
        <v>0</v>
      </c>
      <c r="H48" s="2">
        <f t="shared" ca="1" si="24"/>
        <v>0</v>
      </c>
      <c r="I48" s="2">
        <f t="shared" ca="1" si="24"/>
        <v>0</v>
      </c>
      <c r="J48" s="2">
        <f t="shared" ca="1" si="24"/>
        <v>0</v>
      </c>
      <c r="K48" s="2">
        <f t="shared" ca="1" si="24"/>
        <v>0</v>
      </c>
      <c r="L48" s="2">
        <f t="shared" ca="1" si="24"/>
        <v>0</v>
      </c>
      <c r="M48" s="2">
        <f t="shared" ca="1" si="24"/>
        <v>0</v>
      </c>
      <c r="N48" s="2">
        <f t="shared" ca="1" si="24"/>
        <v>0</v>
      </c>
      <c r="O48" s="2">
        <f t="shared" ca="1" si="24"/>
        <v>0</v>
      </c>
      <c r="P48" s="2">
        <f t="shared" ca="1" si="24"/>
        <v>0</v>
      </c>
      <c r="Q48" s="2">
        <f t="shared" ca="1" si="24"/>
        <v>0</v>
      </c>
      <c r="R48" s="2">
        <f t="shared" ca="1" si="24"/>
        <v>0</v>
      </c>
      <c r="S48" s="2">
        <f t="shared" ca="1" si="24"/>
        <v>0</v>
      </c>
      <c r="T48" s="2">
        <f t="shared" ca="1" si="24"/>
        <v>0</v>
      </c>
      <c r="U48" s="2">
        <f t="shared" ca="1" si="24"/>
        <v>0</v>
      </c>
      <c r="V48" s="2">
        <f t="shared" ca="1" si="24"/>
        <v>0</v>
      </c>
      <c r="W48" s="2">
        <f t="shared" ca="1" si="24"/>
        <v>0</v>
      </c>
      <c r="X48" s="2">
        <f t="shared" ca="1" si="24"/>
        <v>0</v>
      </c>
      <c r="Y48" s="2">
        <f t="shared" ca="1" si="24"/>
        <v>0</v>
      </c>
      <c r="Z48" s="2">
        <f t="shared" ca="1" si="24"/>
        <v>0</v>
      </c>
      <c r="AA48" s="2">
        <f t="shared" ca="1" si="24"/>
        <v>0</v>
      </c>
      <c r="AB48" s="2">
        <f t="shared" ca="1" si="24"/>
        <v>0</v>
      </c>
      <c r="AC48" s="2">
        <f t="shared" ca="1" si="24"/>
        <v>0</v>
      </c>
      <c r="AD48" s="2">
        <f t="shared" ca="1" si="24"/>
        <v>0</v>
      </c>
      <c r="AE48" s="2">
        <f t="shared" ca="1" si="24"/>
        <v>0</v>
      </c>
      <c r="AF48" s="2">
        <f t="shared" ca="1" si="24"/>
        <v>0</v>
      </c>
      <c r="AG48" s="2">
        <f t="shared" ca="1" si="24"/>
        <v>0</v>
      </c>
      <c r="AH48" s="2">
        <f t="shared" ca="1" si="24"/>
        <v>0</v>
      </c>
      <c r="AI48" s="2">
        <f t="shared" ca="1" si="24"/>
        <v>0</v>
      </c>
      <c r="AJ48" s="2">
        <f t="shared" ca="1" si="24"/>
        <v>0</v>
      </c>
    </row>
    <row r="49" spans="1:36" ht="24" customHeight="1" x14ac:dyDescent="0.2">
      <c r="A49" s="47"/>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row>
    <row r="50" spans="1:36" ht="24" customHeight="1" x14ac:dyDescent="0.2">
      <c r="A50" s="22" t="s">
        <v>394</v>
      </c>
      <c r="B50" s="51">
        <f ca="1">SUM(B51:B53)</f>
        <v>32200</v>
      </c>
      <c r="C50" s="51">
        <f t="shared" ref="C50:AJ50" ca="1" si="25">SUM(C51:C53)</f>
        <v>32925</v>
      </c>
      <c r="D50" s="51">
        <f t="shared" ca="1" si="25"/>
        <v>33665</v>
      </c>
      <c r="E50" s="51">
        <f t="shared" ca="1" si="25"/>
        <v>34423</v>
      </c>
      <c r="F50" s="51">
        <f t="shared" ca="1" si="25"/>
        <v>35197</v>
      </c>
      <c r="G50" s="51">
        <f t="shared" ca="1" si="25"/>
        <v>39989</v>
      </c>
      <c r="H50" s="51">
        <f t="shared" ca="1" si="25"/>
        <v>40799</v>
      </c>
      <c r="I50" s="51">
        <f t="shared" ca="1" si="25"/>
        <v>41627</v>
      </c>
      <c r="J50" s="51">
        <f t="shared" ca="1" si="25"/>
        <v>42474</v>
      </c>
      <c r="K50" s="51">
        <f t="shared" ca="1" si="25"/>
        <v>43339</v>
      </c>
      <c r="L50" s="51">
        <f t="shared" ca="1" si="25"/>
        <v>44224</v>
      </c>
      <c r="M50" s="51">
        <f t="shared" ca="1" si="25"/>
        <v>45129</v>
      </c>
      <c r="N50" s="51">
        <f t="shared" ca="1" si="25"/>
        <v>46055</v>
      </c>
      <c r="O50" s="51">
        <f t="shared" ca="1" si="25"/>
        <v>47001</v>
      </c>
      <c r="P50" s="51">
        <f t="shared" ca="1" si="25"/>
        <v>47969</v>
      </c>
      <c r="Q50" s="51">
        <f t="shared" ca="1" si="25"/>
        <v>48958</v>
      </c>
      <c r="R50" s="51">
        <f t="shared" ca="1" si="25"/>
        <v>49969</v>
      </c>
      <c r="S50" s="51">
        <f t="shared" ca="1" si="25"/>
        <v>51004</v>
      </c>
      <c r="T50" s="51">
        <f t="shared" ca="1" si="25"/>
        <v>52061</v>
      </c>
      <c r="U50" s="51">
        <f t="shared" ca="1" si="25"/>
        <v>53143</v>
      </c>
      <c r="V50" s="51">
        <f t="shared" ca="1" si="25"/>
        <v>54248</v>
      </c>
      <c r="W50" s="51">
        <f t="shared" ca="1" si="25"/>
        <v>55379</v>
      </c>
      <c r="X50" s="51">
        <f t="shared" ca="1" si="25"/>
        <v>56535</v>
      </c>
      <c r="Y50" s="51">
        <f t="shared" ca="1" si="25"/>
        <v>57717</v>
      </c>
      <c r="Z50" s="51">
        <f t="shared" ca="1" si="25"/>
        <v>58926</v>
      </c>
      <c r="AA50" s="51">
        <f t="shared" ca="1" si="25"/>
        <v>60162</v>
      </c>
      <c r="AB50" s="51">
        <f t="shared" ca="1" si="25"/>
        <v>61425</v>
      </c>
      <c r="AC50" s="51">
        <f t="shared" ca="1" si="25"/>
        <v>62717</v>
      </c>
      <c r="AD50" s="51">
        <f t="shared" ca="1" si="25"/>
        <v>64038</v>
      </c>
      <c r="AE50" s="51">
        <f t="shared" ca="1" si="25"/>
        <v>65389</v>
      </c>
      <c r="AF50" s="51">
        <f t="shared" ca="1" si="25"/>
        <v>66770</v>
      </c>
      <c r="AG50" s="51">
        <f t="shared" ca="1" si="25"/>
        <v>68183</v>
      </c>
      <c r="AH50" s="51">
        <f t="shared" ca="1" si="25"/>
        <v>69627</v>
      </c>
      <c r="AI50" s="51">
        <f t="shared" ca="1" si="25"/>
        <v>71104</v>
      </c>
      <c r="AJ50" s="51">
        <f t="shared" ca="1" si="25"/>
        <v>72613</v>
      </c>
    </row>
    <row r="51" spans="1:36" ht="24" customHeight="1" x14ac:dyDescent="0.2">
      <c r="A51" s="3" t="s">
        <v>395</v>
      </c>
      <c r="B51" s="4">
        <f>ROUND(Tables!$B$58*(1+Assumptions!$C$10)^(Projections!B$3-Tables!$B$57),0)</f>
        <v>32200</v>
      </c>
      <c r="C51" s="4">
        <f>ROUND(Tables!$B$58*(1+Assumptions!$C$10)^(Projections!C$3-Tables!$B$57),0)</f>
        <v>32925</v>
      </c>
      <c r="D51" s="4">
        <f>ROUND(Tables!$B$58*(1+Assumptions!$C$10)^(Projections!D$3-Tables!$B$57),0)</f>
        <v>33665</v>
      </c>
      <c r="E51" s="4">
        <f>ROUND(Tables!$B$58*(1+Assumptions!$C$10)^(Projections!E$3-Tables!$B$57),0)</f>
        <v>34423</v>
      </c>
      <c r="F51" s="4">
        <f>ROUND(Tables!$B$58*(1+Assumptions!$C$10)^(Projections!F$3-Tables!$B$57),0)</f>
        <v>35197</v>
      </c>
      <c r="G51" s="4">
        <f>ROUND(Tables!$B$58*(1+Assumptions!$C$10)^(Projections!G$3-Tables!$B$57),0)</f>
        <v>35989</v>
      </c>
      <c r="H51" s="4">
        <f>ROUND(Tables!$B$58*(1+Assumptions!$C$10)^(Projections!H$3-Tables!$B$57),0)</f>
        <v>36799</v>
      </c>
      <c r="I51" s="4">
        <f>ROUND(Tables!$B$58*(1+Assumptions!$C$10)^(Projections!I$3-Tables!$B$57),0)</f>
        <v>37627</v>
      </c>
      <c r="J51" s="4">
        <f>ROUND(Tables!$B$58*(1+Assumptions!$C$10)^(Projections!J$3-Tables!$B$57),0)</f>
        <v>38474</v>
      </c>
      <c r="K51" s="4">
        <f>ROUND(Tables!$B$58*(1+Assumptions!$C$10)^(Projections!K$3-Tables!$B$57),0)</f>
        <v>39339</v>
      </c>
      <c r="L51" s="4">
        <f>ROUND(Tables!$B$58*(1+Assumptions!$C$10)^(Projections!L$3-Tables!$B$57),0)</f>
        <v>40224</v>
      </c>
      <c r="M51" s="4">
        <f>ROUND(Tables!$B$58*(1+Assumptions!$C$10)^(Projections!M$3-Tables!$B$57),0)</f>
        <v>41129</v>
      </c>
      <c r="N51" s="4">
        <f>ROUND(Tables!$B$58*(1+Assumptions!$C$10)^(Projections!N$3-Tables!$B$57),0)</f>
        <v>42055</v>
      </c>
      <c r="O51" s="4">
        <f>ROUND(Tables!$B$58*(1+Assumptions!$C$10)^(Projections!O$3-Tables!$B$57),0)</f>
        <v>43001</v>
      </c>
      <c r="P51" s="4">
        <f>ROUND(Tables!$B$58*(1+Assumptions!$C$10)^(Projections!P$3-Tables!$B$57),0)</f>
        <v>43969</v>
      </c>
      <c r="Q51" s="4">
        <f>ROUND(Tables!$B$58*(1+Assumptions!$C$10)^(Projections!Q$3-Tables!$B$57),0)</f>
        <v>44958</v>
      </c>
      <c r="R51" s="4">
        <f>ROUND(Tables!$B$58*(1+Assumptions!$C$10)^(Projections!R$3-Tables!$B$57),0)</f>
        <v>45969</v>
      </c>
      <c r="S51" s="4">
        <f>ROUND(Tables!$B$58*(1+Assumptions!$C$10)^(Projections!S$3-Tables!$B$57),0)</f>
        <v>47004</v>
      </c>
      <c r="T51" s="4">
        <f>ROUND(Tables!$B$58*(1+Assumptions!$C$10)^(Projections!T$3-Tables!$B$57),0)</f>
        <v>48061</v>
      </c>
      <c r="U51" s="4">
        <f>ROUND(Tables!$B$58*(1+Assumptions!$C$10)^(Projections!U$3-Tables!$B$57),0)</f>
        <v>49143</v>
      </c>
      <c r="V51" s="4">
        <f>ROUND(Tables!$B$58*(1+Assumptions!$C$10)^(Projections!V$3-Tables!$B$57),0)</f>
        <v>50248</v>
      </c>
      <c r="W51" s="4">
        <f>ROUND(Tables!$B$58*(1+Assumptions!$C$10)^(Projections!W$3-Tables!$B$57),0)</f>
        <v>51379</v>
      </c>
      <c r="X51" s="4">
        <f>ROUND(Tables!$B$58*(1+Assumptions!$C$10)^(Projections!X$3-Tables!$B$57),0)</f>
        <v>52535</v>
      </c>
      <c r="Y51" s="4">
        <f>ROUND(Tables!$B$58*(1+Assumptions!$C$10)^(Projections!Y$3-Tables!$B$57),0)</f>
        <v>53717</v>
      </c>
      <c r="Z51" s="4">
        <f>ROUND(Tables!$B$58*(1+Assumptions!$C$10)^(Projections!Z$3-Tables!$B$57),0)</f>
        <v>54926</v>
      </c>
      <c r="AA51" s="4">
        <f>ROUND(Tables!$B$58*(1+Assumptions!$C$10)^(Projections!AA$3-Tables!$B$57),0)</f>
        <v>56162</v>
      </c>
      <c r="AB51" s="4">
        <f>ROUND(Tables!$B$58*(1+Assumptions!$C$10)^(Projections!AB$3-Tables!$B$57),0)</f>
        <v>57425</v>
      </c>
      <c r="AC51" s="4">
        <f>ROUND(Tables!$B$58*(1+Assumptions!$C$10)^(Projections!AC$3-Tables!$B$57),0)</f>
        <v>58717</v>
      </c>
      <c r="AD51" s="4">
        <f>ROUND(Tables!$B$58*(1+Assumptions!$C$10)^(Projections!AD$3-Tables!$B$57),0)</f>
        <v>60038</v>
      </c>
      <c r="AE51" s="4">
        <f>ROUND(Tables!$B$58*(1+Assumptions!$C$10)^(Projections!AE$3-Tables!$B$57),0)</f>
        <v>61389</v>
      </c>
      <c r="AF51" s="4">
        <f>ROUND(Tables!$B$58*(1+Assumptions!$C$10)^(Projections!AF$3-Tables!$B$57),0)</f>
        <v>62770</v>
      </c>
      <c r="AG51" s="4">
        <f>ROUND(Tables!$B$58*(1+Assumptions!$C$10)^(Projections!AG$3-Tables!$B$57),0)</f>
        <v>64183</v>
      </c>
      <c r="AH51" s="4">
        <f>ROUND(Tables!$B$58*(1+Assumptions!$C$10)^(Projections!AH$3-Tables!$B$57),0)</f>
        <v>65627</v>
      </c>
      <c r="AI51" s="4">
        <f>ROUND(Tables!$B$58*(1+Assumptions!$C$10)^(Projections!AI$3-Tables!$B$57),0)</f>
        <v>67104</v>
      </c>
      <c r="AJ51" s="4">
        <f>ROUND(Tables!$B$58*(1+Assumptions!$C$10)^(Projections!AJ$3-Tables!$B$57),0)</f>
        <v>68613</v>
      </c>
    </row>
    <row r="52" spans="1:36" ht="24" customHeight="1" x14ac:dyDescent="0.2">
      <c r="A52" s="3" t="s">
        <v>396</v>
      </c>
      <c r="B52" s="4">
        <f>ROUND(Tables!$E$58*(1+Assumptions!$C$10)^(Projections!$B$3-Tables!$B$57),0)*((B$4&gt;=65)+(B$5&gt;=65)*(Assumptions!$B$3="M"))</f>
        <v>0</v>
      </c>
      <c r="C52" s="4">
        <f>ROUND(Tables!$E$58*(1+Assumptions!$C$10)^(Projections!$B$3-Tables!$B$57),0)*((C$4&gt;=65)+(C$5&gt;=65)*(Assumptions!$B$3="M"))</f>
        <v>0</v>
      </c>
      <c r="D52" s="4">
        <f>ROUND(Tables!$E$58*(1+Assumptions!$C$10)^(Projections!$B$3-Tables!$B$57),0)*((D$4&gt;=65)+(D$5&gt;=65)*(Assumptions!$B$3="M"))</f>
        <v>0</v>
      </c>
      <c r="E52" s="4">
        <f>ROUND(Tables!$E$58*(1+Assumptions!$C$10)^(Projections!$B$3-Tables!$B$57),0)*((E$4&gt;=65)+(E$5&gt;=65)*(Assumptions!$B$3="M"))</f>
        <v>0</v>
      </c>
      <c r="F52" s="4">
        <f>ROUND(Tables!$E$58*(1+Assumptions!$C$10)^(Projections!$B$3-Tables!$B$57),0)*((F$4&gt;=65)+(F$5&gt;=65)*(Assumptions!$B$3="M"))</f>
        <v>0</v>
      </c>
      <c r="G52" s="4">
        <f>ROUND(Tables!$E$58*(1+Assumptions!$C$10)^(Projections!$B$3-Tables!$B$57),0)*((G$4&gt;=65)+(G$5&gt;=65)*(Assumptions!$B$3="M"))</f>
        <v>4000</v>
      </c>
      <c r="H52" s="4">
        <f>ROUND(Tables!$E$58*(1+Assumptions!$C$10)^(Projections!$B$3-Tables!$B$57),0)*((H$4&gt;=65)+(H$5&gt;=65)*(Assumptions!$B$3="M"))</f>
        <v>4000</v>
      </c>
      <c r="I52" s="4">
        <f>ROUND(Tables!$E$58*(1+Assumptions!$C$10)^(Projections!$B$3-Tables!$B$57),0)*((I$4&gt;=65)+(I$5&gt;=65)*(Assumptions!$B$3="M"))</f>
        <v>4000</v>
      </c>
      <c r="J52" s="4">
        <f>ROUND(Tables!$E$58*(1+Assumptions!$C$10)^(Projections!$B$3-Tables!$B$57),0)*((J$4&gt;=65)+(J$5&gt;=65)*(Assumptions!$B$3="M"))</f>
        <v>4000</v>
      </c>
      <c r="K52" s="4">
        <f>ROUND(Tables!$E$58*(1+Assumptions!$C$10)^(Projections!$B$3-Tables!$B$57),0)*((K$4&gt;=65)+(K$5&gt;=65)*(Assumptions!$B$3="M"))</f>
        <v>4000</v>
      </c>
      <c r="L52" s="4">
        <f>ROUND(Tables!$E$58*(1+Assumptions!$C$10)^(Projections!$B$3-Tables!$B$57),0)*((L$4&gt;=65)+(L$5&gt;=65)*(Assumptions!$B$3="M"))</f>
        <v>4000</v>
      </c>
      <c r="M52" s="4">
        <f>ROUND(Tables!$E$58*(1+Assumptions!$C$10)^(Projections!$B$3-Tables!$B$57),0)*((M$4&gt;=65)+(M$5&gt;=65)*(Assumptions!$B$3="M"))</f>
        <v>4000</v>
      </c>
      <c r="N52" s="4">
        <f>ROUND(Tables!$E$58*(1+Assumptions!$C$10)^(Projections!$B$3-Tables!$B$57),0)*((N$4&gt;=65)+(N$5&gt;=65)*(Assumptions!$B$3="M"))</f>
        <v>4000</v>
      </c>
      <c r="O52" s="4">
        <f>ROUND(Tables!$E$58*(1+Assumptions!$C$10)^(Projections!$B$3-Tables!$B$57),0)*((O$4&gt;=65)+(O$5&gt;=65)*(Assumptions!$B$3="M"))</f>
        <v>4000</v>
      </c>
      <c r="P52" s="4">
        <f>ROUND(Tables!$E$58*(1+Assumptions!$C$10)^(Projections!$B$3-Tables!$B$57),0)*((P$4&gt;=65)+(P$5&gt;=65)*(Assumptions!$B$3="M"))</f>
        <v>4000</v>
      </c>
      <c r="Q52" s="4">
        <f>ROUND(Tables!$E$58*(1+Assumptions!$C$10)^(Projections!$B$3-Tables!$B$57),0)*((Q$4&gt;=65)+(Q$5&gt;=65)*(Assumptions!$B$3="M"))</f>
        <v>4000</v>
      </c>
      <c r="R52" s="4">
        <f>ROUND(Tables!$E$58*(1+Assumptions!$C$10)^(Projections!$B$3-Tables!$B$57),0)*((R$4&gt;=65)+(R$5&gt;=65)*(Assumptions!$B$3="M"))</f>
        <v>4000</v>
      </c>
      <c r="S52" s="4">
        <f>ROUND(Tables!$E$58*(1+Assumptions!$C$10)^(Projections!$B$3-Tables!$B$57),0)*((S$4&gt;=65)+(S$5&gt;=65)*(Assumptions!$B$3="M"))</f>
        <v>4000</v>
      </c>
      <c r="T52" s="4">
        <f>ROUND(Tables!$E$58*(1+Assumptions!$C$10)^(Projections!$B$3-Tables!$B$57),0)*((T$4&gt;=65)+(T$5&gt;=65)*(Assumptions!$B$3="M"))</f>
        <v>4000</v>
      </c>
      <c r="U52" s="4">
        <f>ROUND(Tables!$E$58*(1+Assumptions!$C$10)^(Projections!$B$3-Tables!$B$57),0)*((U$4&gt;=65)+(U$5&gt;=65)*(Assumptions!$B$3="M"))</f>
        <v>4000</v>
      </c>
      <c r="V52" s="4">
        <f>ROUND(Tables!$E$58*(1+Assumptions!$C$10)^(Projections!$B$3-Tables!$B$57),0)*((V$4&gt;=65)+(V$5&gt;=65)*(Assumptions!$B$3="M"))</f>
        <v>4000</v>
      </c>
      <c r="W52" s="4">
        <f>ROUND(Tables!$E$58*(1+Assumptions!$C$10)^(Projections!$B$3-Tables!$B$57),0)*((W$4&gt;=65)+(W$5&gt;=65)*(Assumptions!$B$3="M"))</f>
        <v>4000</v>
      </c>
      <c r="X52" s="4">
        <f>ROUND(Tables!$E$58*(1+Assumptions!$C$10)^(Projections!$B$3-Tables!$B$57),0)*((X$4&gt;=65)+(X$5&gt;=65)*(Assumptions!$B$3="M"))</f>
        <v>4000</v>
      </c>
      <c r="Y52" s="4">
        <f>ROUND(Tables!$E$58*(1+Assumptions!$C$10)^(Projections!$B$3-Tables!$B$57),0)*((Y$4&gt;=65)+(Y$5&gt;=65)*(Assumptions!$B$3="M"))</f>
        <v>4000</v>
      </c>
      <c r="Z52" s="4">
        <f>ROUND(Tables!$E$58*(1+Assumptions!$C$10)^(Projections!$B$3-Tables!$B$57),0)*((Z$4&gt;=65)+(Z$5&gt;=65)*(Assumptions!$B$3="M"))</f>
        <v>4000</v>
      </c>
      <c r="AA52" s="4">
        <f>ROUND(Tables!$E$58*(1+Assumptions!$C$10)^(Projections!$B$3-Tables!$B$57),0)*((AA$4&gt;=65)+(AA$5&gt;=65)*(Assumptions!$B$3="M"))</f>
        <v>4000</v>
      </c>
      <c r="AB52" s="4">
        <f>ROUND(Tables!$E$58*(1+Assumptions!$C$10)^(Projections!$B$3-Tables!$B$57),0)*((AB$4&gt;=65)+(AB$5&gt;=65)*(Assumptions!$B$3="M"))</f>
        <v>4000</v>
      </c>
      <c r="AC52" s="4">
        <f>ROUND(Tables!$E$58*(1+Assumptions!$C$10)^(Projections!$B$3-Tables!$B$57),0)*((AC$4&gt;=65)+(AC$5&gt;=65)*(Assumptions!$B$3="M"))</f>
        <v>4000</v>
      </c>
      <c r="AD52" s="4">
        <f>ROUND(Tables!$E$58*(1+Assumptions!$C$10)^(Projections!$B$3-Tables!$B$57),0)*((AD$4&gt;=65)+(AD$5&gt;=65)*(Assumptions!$B$3="M"))</f>
        <v>4000</v>
      </c>
      <c r="AE52" s="4">
        <f>ROUND(Tables!$E$58*(1+Assumptions!$C$10)^(Projections!$B$3-Tables!$B$57),0)*((AE$4&gt;=65)+(AE$5&gt;=65)*(Assumptions!$B$3="M"))</f>
        <v>4000</v>
      </c>
      <c r="AF52" s="4">
        <f>ROUND(Tables!$E$58*(1+Assumptions!$C$10)^(Projections!$B$3-Tables!$B$57),0)*((AF$4&gt;=65)+(AF$5&gt;=65)*(Assumptions!$B$3="M"))</f>
        <v>4000</v>
      </c>
      <c r="AG52" s="4">
        <f>ROUND(Tables!$E$58*(1+Assumptions!$C$10)^(Projections!$B$3-Tables!$B$57),0)*((AG$4&gt;=65)+(AG$5&gt;=65)*(Assumptions!$B$3="M"))</f>
        <v>4000</v>
      </c>
      <c r="AH52" s="4">
        <f>ROUND(Tables!$E$58*(1+Assumptions!$C$10)^(Projections!$B$3-Tables!$B$57),0)*((AH$4&gt;=65)+(AH$5&gt;=65)*(Assumptions!$B$3="M"))</f>
        <v>4000</v>
      </c>
      <c r="AI52" s="4">
        <f>ROUND(Tables!$E$58*(1+Assumptions!$C$10)^(Projections!$B$3-Tables!$B$57),0)*((AI$4&gt;=65)+(AI$5&gt;=65)*(Assumptions!$B$3="M"))</f>
        <v>4000</v>
      </c>
      <c r="AJ52" s="4">
        <f>ROUND(Tables!$E$58*(1+Assumptions!$C$10)^(Projections!$B$3-Tables!$B$57),0)*((AJ$4&gt;=65)+(AJ$5&gt;=65)*(Assumptions!$B$3="M"))</f>
        <v>4000</v>
      </c>
    </row>
    <row r="53" spans="1:36" ht="24" customHeight="1" x14ac:dyDescent="0.2">
      <c r="A53" s="1" t="s">
        <v>397</v>
      </c>
      <c r="B53" s="4">
        <f ca="1">ROUND(Tables!$F$58,0)*(B$3&gt;=Tables!$F$59)*(B$3&lt;=Tables!$F$60)*((B$4&gt;=65)+(B$5&gt;=65)*(Assumptions!$B$3="M"))*MAX(0,1-0.06*(B$48-Tables!$F$63))</f>
        <v>0</v>
      </c>
      <c r="C53" s="4">
        <f ca="1">ROUND(Tables!$F$58,0)*(C$3&gt;=Tables!$F$59)*(C$3&lt;=Tables!$F$60)*((C$4&gt;=65)+(C$5&gt;=65)*(Assumptions!$B$3="M"))*MAX(0,1-0.06*(C$48-Tables!$F$63))</f>
        <v>0</v>
      </c>
      <c r="D53" s="4">
        <f ca="1">ROUND(Tables!$F$58,0)*(D$3&gt;=Tables!$F$59)*(D$3&lt;=Tables!$F$60)*((D$4&gt;=65)+(D$5&gt;=65)*(Assumptions!$B$3="M"))*MAX(0,1-0.06*(D$48-Tables!$F$63))</f>
        <v>0</v>
      </c>
      <c r="E53" s="4">
        <f ca="1">ROUND(Tables!$F$58,0)*(E$3&gt;=Tables!$F$59)*(E$3&lt;=Tables!$F$60)*((E$4&gt;=65)+(E$5&gt;=65)*(Assumptions!$B$3="M"))*MAX(0,1-0.06*(E$48-Tables!$F$63))</f>
        <v>0</v>
      </c>
      <c r="F53" s="4">
        <f ca="1">ROUND(Tables!$F$58,0)*(F$3&gt;=Tables!$F$59)*(F$3&lt;=Tables!$F$60)*((F$4&gt;=65)+(F$5&gt;=65)*(Assumptions!$B$3="M"))*MAX(0,1-0.06*(F$48-Tables!$F$63))</f>
        <v>0</v>
      </c>
      <c r="G53" s="4">
        <f ca="1">ROUND(Tables!$F$58,0)*(G$3&gt;=Tables!$F$59)*(G$3&lt;=Tables!$F$60)*((G$4&gt;=65)+(G$5&gt;=65)*(Assumptions!$B$3="M"))*MAX(0,1-0.06*(G$48-Tables!$F$63))</f>
        <v>0</v>
      </c>
      <c r="H53" s="4">
        <f ca="1">ROUND(Tables!$F$58,0)*(H$3&gt;=Tables!$F$59)*(H$3&lt;=Tables!$F$60)*((H$4&gt;=65)+(H$5&gt;=65)*(Assumptions!$B$3="M"))*MAX(0,1-0.06*(H$48-Tables!$F$63))</f>
        <v>0</v>
      </c>
      <c r="I53" s="4">
        <f ca="1">ROUND(Tables!$F$58,0)*(I$3&gt;=Tables!$F$59)*(I$3&lt;=Tables!$F$60)*((I$4&gt;=65)+(I$5&gt;=65)*(Assumptions!$B$3="M"))*MAX(0,1-0.06*(I$48-Tables!$F$63))</f>
        <v>0</v>
      </c>
      <c r="J53" s="4">
        <f ca="1">ROUND(Tables!$F$58,0)*(J$3&gt;=Tables!$F$59)*(J$3&lt;=Tables!$F$60)*((J$4&gt;=65)+(J$5&gt;=65)*(Assumptions!$B$3="M"))*MAX(0,1-0.06*(J$48-Tables!$F$63))</f>
        <v>0</v>
      </c>
      <c r="K53" s="4">
        <f ca="1">ROUND(Tables!$F$58,0)*(K$3&gt;=Tables!$F$59)*(K$3&lt;=Tables!$F$60)*((K$4&gt;=65)+(K$5&gt;=65)*(Assumptions!$B$3="M"))*MAX(0,1-0.06*(K$48-Tables!$F$63))</f>
        <v>0</v>
      </c>
      <c r="L53" s="4">
        <f ca="1">ROUND(Tables!$F$58,0)*(L$3&gt;=Tables!$F$59)*(L$3&lt;=Tables!$F$60)*((L$4&gt;=65)+(L$5&gt;=65)*(Assumptions!$B$3="M"))*MAX(0,1-0.06*(L$48-Tables!$F$63))</f>
        <v>0</v>
      </c>
      <c r="M53" s="4">
        <f ca="1">ROUND(Tables!$F$58,0)*(M$3&gt;=Tables!$F$59)*(M$3&lt;=Tables!$F$60)*((M$4&gt;=65)+(M$5&gt;=65)*(Assumptions!$B$3="M"))*MAX(0,1-0.06*(M$48-Tables!$F$63))</f>
        <v>0</v>
      </c>
      <c r="N53" s="4">
        <f ca="1">ROUND(Tables!$F$58,0)*(N$3&gt;=Tables!$F$59)*(N$3&lt;=Tables!$F$60)*((N$4&gt;=65)+(N$5&gt;=65)*(Assumptions!$B$3="M"))*MAX(0,1-0.06*(N$48-Tables!$F$63))</f>
        <v>0</v>
      </c>
      <c r="O53" s="4">
        <f ca="1">ROUND(Tables!$F$58,0)*(O$3&gt;=Tables!$F$59)*(O$3&lt;=Tables!$F$60)*((O$4&gt;=65)+(O$5&gt;=65)*(Assumptions!$B$3="M"))*MAX(0,1-0.06*(O$48-Tables!$F$63))</f>
        <v>0</v>
      </c>
      <c r="P53" s="4">
        <f ca="1">ROUND(Tables!$F$58,0)*(P$3&gt;=Tables!$F$59)*(P$3&lt;=Tables!$F$60)*((P$4&gt;=65)+(P$5&gt;=65)*(Assumptions!$B$3="M"))*MAX(0,1-0.06*(P$48-Tables!$F$63))</f>
        <v>0</v>
      </c>
      <c r="Q53" s="4">
        <f ca="1">ROUND(Tables!$F$58,0)*(Q$3&gt;=Tables!$F$59)*(Q$3&lt;=Tables!$F$60)*((Q$4&gt;=65)+(Q$5&gt;=65)*(Assumptions!$B$3="M"))*MAX(0,1-0.06*(Q$48-Tables!$F$63))</f>
        <v>0</v>
      </c>
      <c r="R53" s="4">
        <f ca="1">ROUND(Tables!$F$58,0)*(R$3&gt;=Tables!$F$59)*(R$3&lt;=Tables!$F$60)*((R$4&gt;=65)+(R$5&gt;=65)*(Assumptions!$B$3="M"))*MAX(0,1-0.06*(R$48-Tables!$F$63))</f>
        <v>0</v>
      </c>
      <c r="S53" s="4">
        <f ca="1">ROUND(Tables!$F$58,0)*(S$3&gt;=Tables!$F$59)*(S$3&lt;=Tables!$F$60)*((S$4&gt;=65)+(S$5&gt;=65)*(Assumptions!$B$3="M"))*MAX(0,1-0.06*(S$48-Tables!$F$63))</f>
        <v>0</v>
      </c>
      <c r="T53" s="4">
        <f ca="1">ROUND(Tables!$F$58,0)*(T$3&gt;=Tables!$F$59)*(T$3&lt;=Tables!$F$60)*((T$4&gt;=65)+(T$5&gt;=65)*(Assumptions!$B$3="M"))*MAX(0,1-0.06*(T$48-Tables!$F$63))</f>
        <v>0</v>
      </c>
      <c r="U53" s="4">
        <f ca="1">ROUND(Tables!$F$58,0)*(U$3&gt;=Tables!$F$59)*(U$3&lt;=Tables!$F$60)*((U$4&gt;=65)+(U$5&gt;=65)*(Assumptions!$B$3="M"))*MAX(0,1-0.06*(U$48-Tables!$F$63))</f>
        <v>0</v>
      </c>
      <c r="V53" s="4">
        <f ca="1">ROUND(Tables!$F$58,0)*(V$3&gt;=Tables!$F$59)*(V$3&lt;=Tables!$F$60)*((V$4&gt;=65)+(V$5&gt;=65)*(Assumptions!$B$3="M"))*MAX(0,1-0.06*(V$48-Tables!$F$63))</f>
        <v>0</v>
      </c>
      <c r="W53" s="4">
        <f ca="1">ROUND(Tables!$F$58,0)*(W$3&gt;=Tables!$F$59)*(W$3&lt;=Tables!$F$60)*((W$4&gt;=65)+(W$5&gt;=65)*(Assumptions!$B$3="M"))*MAX(0,1-0.06*(W$48-Tables!$F$63))</f>
        <v>0</v>
      </c>
      <c r="X53" s="4">
        <f ca="1">ROUND(Tables!$F$58,0)*(X$3&gt;=Tables!$F$59)*(X$3&lt;=Tables!$F$60)*((X$4&gt;=65)+(X$5&gt;=65)*(Assumptions!$B$3="M"))*MAX(0,1-0.06*(X$48-Tables!$F$63))</f>
        <v>0</v>
      </c>
      <c r="Y53" s="4">
        <f ca="1">ROUND(Tables!$F$58,0)*(Y$3&gt;=Tables!$F$59)*(Y$3&lt;=Tables!$F$60)*((Y$4&gt;=65)+(Y$5&gt;=65)*(Assumptions!$B$3="M"))*MAX(0,1-0.06*(Y$48-Tables!$F$63))</f>
        <v>0</v>
      </c>
      <c r="Z53" s="4">
        <f ca="1">ROUND(Tables!$F$58,0)*(Z$3&gt;=Tables!$F$59)*(Z$3&lt;=Tables!$F$60)*((Z$4&gt;=65)+(Z$5&gt;=65)*(Assumptions!$B$3="M"))*MAX(0,1-0.06*(Z$48-Tables!$F$63))</f>
        <v>0</v>
      </c>
      <c r="AA53" s="4">
        <f ca="1">ROUND(Tables!$F$58,0)*(AA$3&gt;=Tables!$F$59)*(AA$3&lt;=Tables!$F$60)*((AA$4&gt;=65)+(AA$5&gt;=65)*(Assumptions!$B$3="M"))*MAX(0,1-0.06*(AA$48-Tables!$F$63))</f>
        <v>0</v>
      </c>
      <c r="AB53" s="4">
        <f ca="1">ROUND(Tables!$F$58,0)*(AB$3&gt;=Tables!$F$59)*(AB$3&lt;=Tables!$F$60)*((AB$4&gt;=65)+(AB$5&gt;=65)*(Assumptions!$B$3="M"))*MAX(0,1-0.06*(AB$48-Tables!$F$63))</f>
        <v>0</v>
      </c>
      <c r="AC53" s="4">
        <f ca="1">ROUND(Tables!$F$58,0)*(AC$3&gt;=Tables!$F$59)*(AC$3&lt;=Tables!$F$60)*((AC$4&gt;=65)+(AC$5&gt;=65)*(Assumptions!$B$3="M"))*MAX(0,1-0.06*(AC$48-Tables!$F$63))</f>
        <v>0</v>
      </c>
      <c r="AD53" s="4">
        <f ca="1">ROUND(Tables!$F$58,0)*(AD$3&gt;=Tables!$F$59)*(AD$3&lt;=Tables!$F$60)*((AD$4&gt;=65)+(AD$5&gt;=65)*(Assumptions!$B$3="M"))*MAX(0,1-0.06*(AD$48-Tables!$F$63))</f>
        <v>0</v>
      </c>
      <c r="AE53" s="4">
        <f ca="1">ROUND(Tables!$F$58,0)*(AE$3&gt;=Tables!$F$59)*(AE$3&lt;=Tables!$F$60)*((AE$4&gt;=65)+(AE$5&gt;=65)*(Assumptions!$B$3="M"))*MAX(0,1-0.06*(AE$48-Tables!$F$63))</f>
        <v>0</v>
      </c>
      <c r="AF53" s="4">
        <f ca="1">ROUND(Tables!$F$58,0)*(AF$3&gt;=Tables!$F$59)*(AF$3&lt;=Tables!$F$60)*((AF$4&gt;=65)+(AF$5&gt;=65)*(Assumptions!$B$3="M"))*MAX(0,1-0.06*(AF$48-Tables!$F$63))</f>
        <v>0</v>
      </c>
      <c r="AG53" s="4">
        <f ca="1">ROUND(Tables!$F$58,0)*(AG$3&gt;=Tables!$F$59)*(AG$3&lt;=Tables!$F$60)*((AG$4&gt;=65)+(AG$5&gt;=65)*(Assumptions!$B$3="M"))*MAX(0,1-0.06*(AG$48-Tables!$F$63))</f>
        <v>0</v>
      </c>
      <c r="AH53" s="4">
        <f ca="1">ROUND(Tables!$F$58,0)*(AH$3&gt;=Tables!$F$59)*(AH$3&lt;=Tables!$F$60)*((AH$4&gt;=65)+(AH$5&gt;=65)*(Assumptions!$B$3="M"))*MAX(0,1-0.06*(AH$48-Tables!$F$63))</f>
        <v>0</v>
      </c>
      <c r="AI53" s="4">
        <f ca="1">ROUND(Tables!$F$58,0)*(AI$3&gt;=Tables!$F$59)*(AI$3&lt;=Tables!$F$60)*((AI$4&gt;=65)+(AI$5&gt;=65)*(Assumptions!$B$3="M"))*MAX(0,1-0.06*(AI$48-Tables!$F$63))</f>
        <v>0</v>
      </c>
      <c r="AJ53" s="4">
        <f ca="1">ROUND(Tables!$F$58,0)*(AJ$3&gt;=Tables!$F$59)*(AJ$3&lt;=Tables!$F$60)*((AJ$4&gt;=65)+(AJ$5&gt;=65)*(Assumptions!$B$3="M"))*MAX(0,1-0.06*(AJ$48-Tables!$F$63))</f>
        <v>0</v>
      </c>
    </row>
    <row r="54" spans="1:36" ht="24" customHeight="1" x14ac:dyDescent="0.2">
      <c r="A54" s="47"/>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row>
    <row r="55" spans="1:36" ht="24" customHeight="1" x14ac:dyDescent="0.2">
      <c r="A55" s="22" t="s">
        <v>43</v>
      </c>
      <c r="B55" s="51">
        <f t="shared" ref="B55:AJ55" ca="1" si="26">$A$56*MAX(0,MIN(B57,B48)-B56)+$A$57*MAX(0,MIN(B58,B48)-B57)+$A$58*MAX(0,MIN(B59,B48)-B58)+$A$59*MAX(0,MIN(B60,B48)-B59)+$A$60*MAX(0,MIN(B61,B48)-B60)+$A$61*MAX(0,MIN(B62,B48)-B61)+$A$62*MAX(0,B48-B62)</f>
        <v>0</v>
      </c>
      <c r="C55" s="51">
        <f t="shared" ca="1" si="26"/>
        <v>0</v>
      </c>
      <c r="D55" s="51">
        <f t="shared" ca="1" si="26"/>
        <v>0</v>
      </c>
      <c r="E55" s="51">
        <f t="shared" ca="1" si="26"/>
        <v>0</v>
      </c>
      <c r="F55" s="51">
        <f t="shared" ca="1" si="26"/>
        <v>0</v>
      </c>
      <c r="G55" s="51">
        <f t="shared" ca="1" si="26"/>
        <v>0</v>
      </c>
      <c r="H55" s="51">
        <f t="shared" ca="1" si="26"/>
        <v>0</v>
      </c>
      <c r="I55" s="51">
        <f t="shared" ca="1" si="26"/>
        <v>0</v>
      </c>
      <c r="J55" s="51">
        <f t="shared" ca="1" si="26"/>
        <v>0</v>
      </c>
      <c r="K55" s="51">
        <f t="shared" ca="1" si="26"/>
        <v>0</v>
      </c>
      <c r="L55" s="51">
        <f t="shared" ca="1" si="26"/>
        <v>0</v>
      </c>
      <c r="M55" s="51">
        <f t="shared" ca="1" si="26"/>
        <v>0</v>
      </c>
      <c r="N55" s="51">
        <f t="shared" ca="1" si="26"/>
        <v>0</v>
      </c>
      <c r="O55" s="51">
        <f t="shared" ca="1" si="26"/>
        <v>0</v>
      </c>
      <c r="P55" s="51">
        <f t="shared" ca="1" si="26"/>
        <v>0</v>
      </c>
      <c r="Q55" s="51">
        <f t="shared" ca="1" si="26"/>
        <v>0</v>
      </c>
      <c r="R55" s="51">
        <f t="shared" ca="1" si="26"/>
        <v>0</v>
      </c>
      <c r="S55" s="51">
        <f t="shared" ca="1" si="26"/>
        <v>0</v>
      </c>
      <c r="T55" s="51">
        <f t="shared" ca="1" si="26"/>
        <v>0</v>
      </c>
      <c r="U55" s="51">
        <f t="shared" ca="1" si="26"/>
        <v>0</v>
      </c>
      <c r="V55" s="51">
        <f t="shared" ca="1" si="26"/>
        <v>0</v>
      </c>
      <c r="W55" s="51">
        <f t="shared" ca="1" si="26"/>
        <v>0</v>
      </c>
      <c r="X55" s="51">
        <f t="shared" ca="1" si="26"/>
        <v>0</v>
      </c>
      <c r="Y55" s="51">
        <f t="shared" ca="1" si="26"/>
        <v>0</v>
      </c>
      <c r="Z55" s="51">
        <f t="shared" ca="1" si="26"/>
        <v>0</v>
      </c>
      <c r="AA55" s="51">
        <f t="shared" ca="1" si="26"/>
        <v>0</v>
      </c>
      <c r="AB55" s="51">
        <f t="shared" ca="1" si="26"/>
        <v>0</v>
      </c>
      <c r="AC55" s="51">
        <f t="shared" ca="1" si="26"/>
        <v>0</v>
      </c>
      <c r="AD55" s="51">
        <f t="shared" ca="1" si="26"/>
        <v>0</v>
      </c>
      <c r="AE55" s="51">
        <f t="shared" ca="1" si="26"/>
        <v>0</v>
      </c>
      <c r="AF55" s="51">
        <f t="shared" ca="1" si="26"/>
        <v>0</v>
      </c>
      <c r="AG55" s="51">
        <f t="shared" ca="1" si="26"/>
        <v>0</v>
      </c>
      <c r="AH55" s="51">
        <f t="shared" ca="1" si="26"/>
        <v>0</v>
      </c>
      <c r="AI55" s="51">
        <f t="shared" ca="1" si="26"/>
        <v>0</v>
      </c>
      <c r="AJ55" s="51">
        <f t="shared" ca="1" si="26"/>
        <v>0</v>
      </c>
    </row>
    <row r="56" spans="1:36" ht="24" customHeight="1" x14ac:dyDescent="0.2">
      <c r="A56" s="7">
        <f>Tables!A59</f>
        <v>0.1</v>
      </c>
      <c r="B56" s="4">
        <f ca="1">B50</f>
        <v>32200</v>
      </c>
      <c r="C56" s="4">
        <f t="shared" ref="C56:AJ56" ca="1" si="27">C50</f>
        <v>32925</v>
      </c>
      <c r="D56" s="4">
        <f t="shared" ca="1" si="27"/>
        <v>33665</v>
      </c>
      <c r="E56" s="4">
        <f t="shared" ca="1" si="27"/>
        <v>34423</v>
      </c>
      <c r="F56" s="4">
        <f t="shared" ca="1" si="27"/>
        <v>35197</v>
      </c>
      <c r="G56" s="4">
        <f t="shared" ca="1" si="27"/>
        <v>39989</v>
      </c>
      <c r="H56" s="4">
        <f t="shared" ca="1" si="27"/>
        <v>40799</v>
      </c>
      <c r="I56" s="4">
        <f t="shared" ca="1" si="27"/>
        <v>41627</v>
      </c>
      <c r="J56" s="4">
        <f t="shared" ca="1" si="27"/>
        <v>42474</v>
      </c>
      <c r="K56" s="4">
        <f t="shared" ca="1" si="27"/>
        <v>43339</v>
      </c>
      <c r="L56" s="4">
        <f t="shared" ca="1" si="27"/>
        <v>44224</v>
      </c>
      <c r="M56" s="4">
        <f t="shared" ca="1" si="27"/>
        <v>45129</v>
      </c>
      <c r="N56" s="4">
        <f t="shared" ca="1" si="27"/>
        <v>46055</v>
      </c>
      <c r="O56" s="4">
        <f t="shared" ca="1" si="27"/>
        <v>47001</v>
      </c>
      <c r="P56" s="4">
        <f t="shared" ca="1" si="27"/>
        <v>47969</v>
      </c>
      <c r="Q56" s="4">
        <f t="shared" ca="1" si="27"/>
        <v>48958</v>
      </c>
      <c r="R56" s="4">
        <f t="shared" ca="1" si="27"/>
        <v>49969</v>
      </c>
      <c r="S56" s="4">
        <f t="shared" ca="1" si="27"/>
        <v>51004</v>
      </c>
      <c r="T56" s="4">
        <f t="shared" ca="1" si="27"/>
        <v>52061</v>
      </c>
      <c r="U56" s="4">
        <f t="shared" ca="1" si="27"/>
        <v>53143</v>
      </c>
      <c r="V56" s="4">
        <f t="shared" ca="1" si="27"/>
        <v>54248</v>
      </c>
      <c r="W56" s="4">
        <f t="shared" ca="1" si="27"/>
        <v>55379</v>
      </c>
      <c r="X56" s="4">
        <f t="shared" ca="1" si="27"/>
        <v>56535</v>
      </c>
      <c r="Y56" s="4">
        <f t="shared" ca="1" si="27"/>
        <v>57717</v>
      </c>
      <c r="Z56" s="4">
        <f t="shared" ca="1" si="27"/>
        <v>58926</v>
      </c>
      <c r="AA56" s="4">
        <f t="shared" ca="1" si="27"/>
        <v>60162</v>
      </c>
      <c r="AB56" s="4">
        <f t="shared" ca="1" si="27"/>
        <v>61425</v>
      </c>
      <c r="AC56" s="4">
        <f t="shared" ca="1" si="27"/>
        <v>62717</v>
      </c>
      <c r="AD56" s="4">
        <f t="shared" ca="1" si="27"/>
        <v>64038</v>
      </c>
      <c r="AE56" s="4">
        <f t="shared" ca="1" si="27"/>
        <v>65389</v>
      </c>
      <c r="AF56" s="4">
        <f t="shared" ca="1" si="27"/>
        <v>66770</v>
      </c>
      <c r="AG56" s="4">
        <f t="shared" ca="1" si="27"/>
        <v>68183</v>
      </c>
      <c r="AH56" s="4">
        <f t="shared" ca="1" si="27"/>
        <v>69627</v>
      </c>
      <c r="AI56" s="4">
        <f t="shared" ca="1" si="27"/>
        <v>71104</v>
      </c>
      <c r="AJ56" s="4">
        <f t="shared" ca="1" si="27"/>
        <v>72613</v>
      </c>
    </row>
    <row r="57" spans="1:36" ht="24" customHeight="1" x14ac:dyDescent="0.2">
      <c r="A57" s="7">
        <f>Tables!A60</f>
        <v>0.12</v>
      </c>
      <c r="B57" s="2">
        <f>ROUND((Tables!B58+Tables!B59)*(1+Assumptions!$C$10)^(Projections!$B$3-Tables!$B$57),0)</f>
        <v>57000</v>
      </c>
      <c r="C57" s="2">
        <f t="shared" ref="C57:AJ57" si="28">ROUND(B57*(1+B$8),0)</f>
        <v>58283</v>
      </c>
      <c r="D57" s="2">
        <f t="shared" si="28"/>
        <v>59594</v>
      </c>
      <c r="E57" s="2">
        <f t="shared" si="28"/>
        <v>60935</v>
      </c>
      <c r="F57" s="2">
        <f t="shared" si="28"/>
        <v>62306</v>
      </c>
      <c r="G57" s="2">
        <f t="shared" si="28"/>
        <v>63708</v>
      </c>
      <c r="H57" s="2">
        <f t="shared" si="28"/>
        <v>65141</v>
      </c>
      <c r="I57" s="2">
        <f t="shared" si="28"/>
        <v>66607</v>
      </c>
      <c r="J57" s="2">
        <f t="shared" si="28"/>
        <v>68106</v>
      </c>
      <c r="K57" s="2">
        <f t="shared" si="28"/>
        <v>69638</v>
      </c>
      <c r="L57" s="2">
        <f t="shared" si="28"/>
        <v>71205</v>
      </c>
      <c r="M57" s="2">
        <f t="shared" si="28"/>
        <v>72807</v>
      </c>
      <c r="N57" s="2">
        <f t="shared" si="28"/>
        <v>74445</v>
      </c>
      <c r="O57" s="2">
        <f t="shared" si="28"/>
        <v>76120</v>
      </c>
      <c r="P57" s="2">
        <f t="shared" si="28"/>
        <v>77833</v>
      </c>
      <c r="Q57" s="2">
        <f t="shared" si="28"/>
        <v>79584</v>
      </c>
      <c r="R57" s="2">
        <f t="shared" si="28"/>
        <v>81375</v>
      </c>
      <c r="S57" s="2">
        <f t="shared" si="28"/>
        <v>83206</v>
      </c>
      <c r="T57" s="2">
        <f t="shared" si="28"/>
        <v>85078</v>
      </c>
      <c r="U57" s="2">
        <f t="shared" si="28"/>
        <v>86992</v>
      </c>
      <c r="V57" s="2">
        <f t="shared" si="28"/>
        <v>88949</v>
      </c>
      <c r="W57" s="2">
        <f t="shared" si="28"/>
        <v>90950</v>
      </c>
      <c r="X57" s="2">
        <f t="shared" si="28"/>
        <v>92996</v>
      </c>
      <c r="Y57" s="2">
        <f t="shared" si="28"/>
        <v>95088</v>
      </c>
      <c r="Z57" s="2">
        <f t="shared" si="28"/>
        <v>97227</v>
      </c>
      <c r="AA57" s="2">
        <f t="shared" si="28"/>
        <v>99415</v>
      </c>
      <c r="AB57" s="2">
        <f t="shared" si="28"/>
        <v>101652</v>
      </c>
      <c r="AC57" s="2">
        <f t="shared" si="28"/>
        <v>103939</v>
      </c>
      <c r="AD57" s="2">
        <f t="shared" si="28"/>
        <v>106278</v>
      </c>
      <c r="AE57" s="2">
        <f t="shared" si="28"/>
        <v>108669</v>
      </c>
      <c r="AF57" s="2">
        <f t="shared" si="28"/>
        <v>111114</v>
      </c>
      <c r="AG57" s="2">
        <f t="shared" si="28"/>
        <v>113614</v>
      </c>
      <c r="AH57" s="2">
        <f t="shared" si="28"/>
        <v>116170</v>
      </c>
      <c r="AI57" s="2">
        <f t="shared" si="28"/>
        <v>118784</v>
      </c>
      <c r="AJ57" s="2">
        <f t="shared" si="28"/>
        <v>121457</v>
      </c>
    </row>
    <row r="58" spans="1:36" ht="24" customHeight="1" x14ac:dyDescent="0.2">
      <c r="A58" s="7">
        <f>Tables!A61</f>
        <v>0.22</v>
      </c>
      <c r="B58" s="2">
        <f>ROUND((Tables!B58+Tables!B60)*(1+Assumptions!$C$10)^(Projections!$B$3-Tables!$B$57),0)</f>
        <v>133000</v>
      </c>
      <c r="C58" s="2">
        <f t="shared" ref="C58:AJ58" si="29">ROUND(B58*(1+B$8),0)</f>
        <v>135993</v>
      </c>
      <c r="D58" s="2">
        <f t="shared" si="29"/>
        <v>139053</v>
      </c>
      <c r="E58" s="2">
        <f t="shared" si="29"/>
        <v>142182</v>
      </c>
      <c r="F58" s="2">
        <f t="shared" si="29"/>
        <v>145381</v>
      </c>
      <c r="G58" s="2">
        <f t="shared" si="29"/>
        <v>148652</v>
      </c>
      <c r="H58" s="2">
        <f t="shared" si="29"/>
        <v>151997</v>
      </c>
      <c r="I58" s="2">
        <f t="shared" si="29"/>
        <v>155417</v>
      </c>
      <c r="J58" s="2">
        <f t="shared" si="29"/>
        <v>158914</v>
      </c>
      <c r="K58" s="2">
        <f t="shared" si="29"/>
        <v>162490</v>
      </c>
      <c r="L58" s="2">
        <f t="shared" si="29"/>
        <v>166146</v>
      </c>
      <c r="M58" s="2">
        <f t="shared" si="29"/>
        <v>169884</v>
      </c>
      <c r="N58" s="2">
        <f t="shared" si="29"/>
        <v>173706</v>
      </c>
      <c r="O58" s="2">
        <f t="shared" si="29"/>
        <v>177614</v>
      </c>
      <c r="P58" s="2">
        <f t="shared" si="29"/>
        <v>181610</v>
      </c>
      <c r="Q58" s="2">
        <f t="shared" si="29"/>
        <v>185696</v>
      </c>
      <c r="R58" s="2">
        <f t="shared" si="29"/>
        <v>189874</v>
      </c>
      <c r="S58" s="2">
        <f t="shared" si="29"/>
        <v>194146</v>
      </c>
      <c r="T58" s="2">
        <f t="shared" si="29"/>
        <v>198514</v>
      </c>
      <c r="U58" s="2">
        <f t="shared" si="29"/>
        <v>202981</v>
      </c>
      <c r="V58" s="2">
        <f t="shared" si="29"/>
        <v>207548</v>
      </c>
      <c r="W58" s="2">
        <f t="shared" si="29"/>
        <v>212218</v>
      </c>
      <c r="X58" s="2">
        <f t="shared" si="29"/>
        <v>216993</v>
      </c>
      <c r="Y58" s="2">
        <f t="shared" si="29"/>
        <v>221875</v>
      </c>
      <c r="Z58" s="2">
        <f t="shared" si="29"/>
        <v>226867</v>
      </c>
      <c r="AA58" s="2">
        <f t="shared" si="29"/>
        <v>231972</v>
      </c>
      <c r="AB58" s="2">
        <f t="shared" si="29"/>
        <v>237191</v>
      </c>
      <c r="AC58" s="2">
        <f t="shared" si="29"/>
        <v>242528</v>
      </c>
      <c r="AD58" s="2">
        <f t="shared" si="29"/>
        <v>247985</v>
      </c>
      <c r="AE58" s="2">
        <f t="shared" si="29"/>
        <v>253565</v>
      </c>
      <c r="AF58" s="2">
        <f t="shared" si="29"/>
        <v>259270</v>
      </c>
      <c r="AG58" s="2">
        <f t="shared" si="29"/>
        <v>265104</v>
      </c>
      <c r="AH58" s="2">
        <f t="shared" si="29"/>
        <v>271069</v>
      </c>
      <c r="AI58" s="2">
        <f t="shared" si="29"/>
        <v>277168</v>
      </c>
      <c r="AJ58" s="2">
        <f t="shared" si="29"/>
        <v>283404</v>
      </c>
    </row>
    <row r="59" spans="1:36" ht="24" customHeight="1" x14ac:dyDescent="0.2">
      <c r="A59" s="7">
        <f>Tables!A62</f>
        <v>0.24</v>
      </c>
      <c r="B59" s="2">
        <f>ROUND((Tables!B58+Tables!B61)*(1+Assumptions!$C$10)^(Projections!$B$3-Tables!$B$57),0)</f>
        <v>243600</v>
      </c>
      <c r="C59" s="2">
        <f t="shared" ref="C59:AJ59" si="30">ROUND(B59*(1+B$8),0)</f>
        <v>249081</v>
      </c>
      <c r="D59" s="2">
        <f t="shared" si="30"/>
        <v>254685</v>
      </c>
      <c r="E59" s="2">
        <f t="shared" si="30"/>
        <v>260415</v>
      </c>
      <c r="F59" s="2">
        <f t="shared" si="30"/>
        <v>266274</v>
      </c>
      <c r="G59" s="2">
        <f t="shared" si="30"/>
        <v>272265</v>
      </c>
      <c r="H59" s="2">
        <f t="shared" si="30"/>
        <v>278391</v>
      </c>
      <c r="I59" s="2">
        <f t="shared" si="30"/>
        <v>284655</v>
      </c>
      <c r="J59" s="2">
        <f t="shared" si="30"/>
        <v>291060</v>
      </c>
      <c r="K59" s="2">
        <f t="shared" si="30"/>
        <v>297609</v>
      </c>
      <c r="L59" s="2">
        <f t="shared" si="30"/>
        <v>304305</v>
      </c>
      <c r="M59" s="2">
        <f t="shared" si="30"/>
        <v>311152</v>
      </c>
      <c r="N59" s="2">
        <f t="shared" si="30"/>
        <v>318153</v>
      </c>
      <c r="O59" s="2">
        <f t="shared" si="30"/>
        <v>325311</v>
      </c>
      <c r="P59" s="2">
        <f t="shared" si="30"/>
        <v>332630</v>
      </c>
      <c r="Q59" s="2">
        <f t="shared" si="30"/>
        <v>340114</v>
      </c>
      <c r="R59" s="2">
        <f t="shared" si="30"/>
        <v>347767</v>
      </c>
      <c r="S59" s="2">
        <f t="shared" si="30"/>
        <v>355592</v>
      </c>
      <c r="T59" s="2">
        <f t="shared" si="30"/>
        <v>363593</v>
      </c>
      <c r="U59" s="2">
        <f t="shared" si="30"/>
        <v>371774</v>
      </c>
      <c r="V59" s="2">
        <f t="shared" si="30"/>
        <v>380139</v>
      </c>
      <c r="W59" s="2">
        <f t="shared" si="30"/>
        <v>388692</v>
      </c>
      <c r="X59" s="2">
        <f t="shared" si="30"/>
        <v>397438</v>
      </c>
      <c r="Y59" s="2">
        <f t="shared" si="30"/>
        <v>406380</v>
      </c>
      <c r="Z59" s="2">
        <f t="shared" si="30"/>
        <v>415524</v>
      </c>
      <c r="AA59" s="2">
        <f t="shared" si="30"/>
        <v>424873</v>
      </c>
      <c r="AB59" s="2">
        <f t="shared" si="30"/>
        <v>434433</v>
      </c>
      <c r="AC59" s="2">
        <f t="shared" si="30"/>
        <v>444208</v>
      </c>
      <c r="AD59" s="2">
        <f t="shared" si="30"/>
        <v>454203</v>
      </c>
      <c r="AE59" s="2">
        <f t="shared" si="30"/>
        <v>464423</v>
      </c>
      <c r="AF59" s="2">
        <f t="shared" si="30"/>
        <v>474873</v>
      </c>
      <c r="AG59" s="2">
        <f t="shared" si="30"/>
        <v>485558</v>
      </c>
      <c r="AH59" s="2">
        <f t="shared" si="30"/>
        <v>496483</v>
      </c>
      <c r="AI59" s="2">
        <f t="shared" si="30"/>
        <v>507654</v>
      </c>
      <c r="AJ59" s="2">
        <f t="shared" si="30"/>
        <v>519076</v>
      </c>
    </row>
    <row r="60" spans="1:36" ht="24" customHeight="1" x14ac:dyDescent="0.2">
      <c r="A60" s="7">
        <f>Tables!A63</f>
        <v>0.32</v>
      </c>
      <c r="B60" s="2">
        <f>ROUND((Tables!B58+Tables!B62)*(1+Assumptions!$C$10)^(Projections!$B$3-Tables!$B$57),0)</f>
        <v>435750</v>
      </c>
      <c r="C60" s="2">
        <f t="shared" ref="C60:AJ60" si="31">ROUND(B60*(1+B$8),0)</f>
        <v>445554</v>
      </c>
      <c r="D60" s="2">
        <f t="shared" si="31"/>
        <v>455579</v>
      </c>
      <c r="E60" s="2">
        <f t="shared" si="31"/>
        <v>465830</v>
      </c>
      <c r="F60" s="2">
        <f t="shared" si="31"/>
        <v>476311</v>
      </c>
      <c r="G60" s="2">
        <f t="shared" si="31"/>
        <v>487028</v>
      </c>
      <c r="H60" s="2">
        <f t="shared" si="31"/>
        <v>497986</v>
      </c>
      <c r="I60" s="2">
        <f t="shared" si="31"/>
        <v>509191</v>
      </c>
      <c r="J60" s="2">
        <f t="shared" si="31"/>
        <v>520648</v>
      </c>
      <c r="K60" s="2">
        <f t="shared" si="31"/>
        <v>532363</v>
      </c>
      <c r="L60" s="2">
        <f t="shared" si="31"/>
        <v>544341</v>
      </c>
      <c r="M60" s="2">
        <f t="shared" si="31"/>
        <v>556589</v>
      </c>
      <c r="N60" s="2">
        <f t="shared" si="31"/>
        <v>569112</v>
      </c>
      <c r="O60" s="2">
        <f t="shared" si="31"/>
        <v>581917</v>
      </c>
      <c r="P60" s="2">
        <f t="shared" si="31"/>
        <v>595010</v>
      </c>
      <c r="Q60" s="2">
        <f t="shared" si="31"/>
        <v>608398</v>
      </c>
      <c r="R60" s="2">
        <f t="shared" si="31"/>
        <v>622087</v>
      </c>
      <c r="S60" s="2">
        <f t="shared" si="31"/>
        <v>636084</v>
      </c>
      <c r="T60" s="2">
        <f t="shared" si="31"/>
        <v>650396</v>
      </c>
      <c r="U60" s="2">
        <f t="shared" si="31"/>
        <v>665030</v>
      </c>
      <c r="V60" s="2">
        <f t="shared" si="31"/>
        <v>679993</v>
      </c>
      <c r="W60" s="2">
        <f t="shared" si="31"/>
        <v>695293</v>
      </c>
      <c r="X60" s="2">
        <f t="shared" si="31"/>
        <v>710937</v>
      </c>
      <c r="Y60" s="2">
        <f t="shared" si="31"/>
        <v>726933</v>
      </c>
      <c r="Z60" s="2">
        <f t="shared" si="31"/>
        <v>743289</v>
      </c>
      <c r="AA60" s="2">
        <f t="shared" si="31"/>
        <v>760013</v>
      </c>
      <c r="AB60" s="2">
        <f t="shared" si="31"/>
        <v>777113</v>
      </c>
      <c r="AC60" s="2">
        <f t="shared" si="31"/>
        <v>794598</v>
      </c>
      <c r="AD60" s="2">
        <f t="shared" si="31"/>
        <v>812476</v>
      </c>
      <c r="AE60" s="2">
        <f t="shared" si="31"/>
        <v>830757</v>
      </c>
      <c r="AF60" s="2">
        <f t="shared" si="31"/>
        <v>849449</v>
      </c>
      <c r="AG60" s="2">
        <f t="shared" si="31"/>
        <v>868562</v>
      </c>
      <c r="AH60" s="2">
        <f t="shared" si="31"/>
        <v>888105</v>
      </c>
      <c r="AI60" s="2">
        <f t="shared" si="31"/>
        <v>908087</v>
      </c>
      <c r="AJ60" s="2">
        <f t="shared" si="31"/>
        <v>928519</v>
      </c>
    </row>
    <row r="61" spans="1:36" ht="24" customHeight="1" x14ac:dyDescent="0.2">
      <c r="A61" s="7">
        <f>Tables!A64</f>
        <v>0.35</v>
      </c>
      <c r="B61" s="2">
        <f>ROUND((Tables!B58+Tables!B63)*(1+Assumptions!$C$10)^(Projections!$B$3-Tables!$B$57),0)</f>
        <v>544650</v>
      </c>
      <c r="C61" s="2">
        <f t="shared" ref="C61:AJ61" si="32">ROUND(B61*(1+B$8),0)</f>
        <v>556905</v>
      </c>
      <c r="D61" s="2">
        <f t="shared" si="32"/>
        <v>569435</v>
      </c>
      <c r="E61" s="2">
        <f t="shared" si="32"/>
        <v>582247</v>
      </c>
      <c r="F61" s="2">
        <f t="shared" si="32"/>
        <v>595348</v>
      </c>
      <c r="G61" s="2">
        <f t="shared" si="32"/>
        <v>608743</v>
      </c>
      <c r="H61" s="2">
        <f t="shared" si="32"/>
        <v>622440</v>
      </c>
      <c r="I61" s="2">
        <f t="shared" si="32"/>
        <v>636445</v>
      </c>
      <c r="J61" s="2">
        <f t="shared" si="32"/>
        <v>650765</v>
      </c>
      <c r="K61" s="2">
        <f t="shared" si="32"/>
        <v>665407</v>
      </c>
      <c r="L61" s="2">
        <f t="shared" si="32"/>
        <v>680379</v>
      </c>
      <c r="M61" s="2">
        <f t="shared" si="32"/>
        <v>695688</v>
      </c>
      <c r="N61" s="2">
        <f t="shared" si="32"/>
        <v>711341</v>
      </c>
      <c r="O61" s="2">
        <f t="shared" si="32"/>
        <v>727346</v>
      </c>
      <c r="P61" s="2">
        <f t="shared" si="32"/>
        <v>743711</v>
      </c>
      <c r="Q61" s="2">
        <f t="shared" si="32"/>
        <v>760444</v>
      </c>
      <c r="R61" s="2">
        <f t="shared" si="32"/>
        <v>777554</v>
      </c>
      <c r="S61" s="2">
        <f t="shared" si="32"/>
        <v>795049</v>
      </c>
      <c r="T61" s="2">
        <f t="shared" si="32"/>
        <v>812938</v>
      </c>
      <c r="U61" s="2">
        <f t="shared" si="32"/>
        <v>831229</v>
      </c>
      <c r="V61" s="2">
        <f t="shared" si="32"/>
        <v>849932</v>
      </c>
      <c r="W61" s="2">
        <f t="shared" si="32"/>
        <v>869055</v>
      </c>
      <c r="X61" s="2">
        <f t="shared" si="32"/>
        <v>888609</v>
      </c>
      <c r="Y61" s="2">
        <f t="shared" si="32"/>
        <v>908603</v>
      </c>
      <c r="Z61" s="2">
        <f t="shared" si="32"/>
        <v>929047</v>
      </c>
      <c r="AA61" s="2">
        <f t="shared" si="32"/>
        <v>949951</v>
      </c>
      <c r="AB61" s="2">
        <f t="shared" si="32"/>
        <v>971325</v>
      </c>
      <c r="AC61" s="2">
        <f t="shared" si="32"/>
        <v>993180</v>
      </c>
      <c r="AD61" s="2">
        <f t="shared" si="32"/>
        <v>1015527</v>
      </c>
      <c r="AE61" s="2">
        <f t="shared" si="32"/>
        <v>1038376</v>
      </c>
      <c r="AF61" s="2">
        <f t="shared" si="32"/>
        <v>1061739</v>
      </c>
      <c r="AG61" s="2">
        <f t="shared" si="32"/>
        <v>1085628</v>
      </c>
      <c r="AH61" s="2">
        <f t="shared" si="32"/>
        <v>1110055</v>
      </c>
      <c r="AI61" s="2">
        <f t="shared" si="32"/>
        <v>1135031</v>
      </c>
      <c r="AJ61" s="2">
        <f t="shared" si="32"/>
        <v>1160569</v>
      </c>
    </row>
    <row r="62" spans="1:36" ht="24" customHeight="1" x14ac:dyDescent="0.2">
      <c r="A62" s="7">
        <f>Tables!A65</f>
        <v>0.37</v>
      </c>
      <c r="B62" s="2">
        <f>ROUND(Tables!B64*(1+Assumptions!$C$10)^(Projections!$B$3-Tables!$B$57),0)</f>
        <v>768700</v>
      </c>
      <c r="C62" s="2">
        <f t="shared" ref="C62:AJ62" si="33">ROUND(B62*(1+B$8),0)</f>
        <v>785996</v>
      </c>
      <c r="D62" s="2">
        <f t="shared" si="33"/>
        <v>803681</v>
      </c>
      <c r="E62" s="2">
        <f t="shared" si="33"/>
        <v>821764</v>
      </c>
      <c r="F62" s="2">
        <f t="shared" si="33"/>
        <v>840254</v>
      </c>
      <c r="G62" s="2">
        <f t="shared" si="33"/>
        <v>859160</v>
      </c>
      <c r="H62" s="2">
        <f t="shared" si="33"/>
        <v>878491</v>
      </c>
      <c r="I62" s="2">
        <f t="shared" si="33"/>
        <v>898257</v>
      </c>
      <c r="J62" s="2">
        <f t="shared" si="33"/>
        <v>918468</v>
      </c>
      <c r="K62" s="2">
        <f t="shared" si="33"/>
        <v>939134</v>
      </c>
      <c r="L62" s="2">
        <f t="shared" si="33"/>
        <v>960265</v>
      </c>
      <c r="M62" s="2">
        <f t="shared" si="33"/>
        <v>981871</v>
      </c>
      <c r="N62" s="2">
        <f t="shared" si="33"/>
        <v>1003963</v>
      </c>
      <c r="O62" s="2">
        <f t="shared" si="33"/>
        <v>1026552</v>
      </c>
      <c r="P62" s="2">
        <f t="shared" si="33"/>
        <v>1049649</v>
      </c>
      <c r="Q62" s="2">
        <f t="shared" si="33"/>
        <v>1073266</v>
      </c>
      <c r="R62" s="2">
        <f t="shared" si="33"/>
        <v>1097414</v>
      </c>
      <c r="S62" s="2">
        <f t="shared" si="33"/>
        <v>1122106</v>
      </c>
      <c r="T62" s="2">
        <f t="shared" si="33"/>
        <v>1147353</v>
      </c>
      <c r="U62" s="2">
        <f t="shared" si="33"/>
        <v>1173168</v>
      </c>
      <c r="V62" s="2">
        <f t="shared" si="33"/>
        <v>1199564</v>
      </c>
      <c r="W62" s="2">
        <f t="shared" si="33"/>
        <v>1226554</v>
      </c>
      <c r="X62" s="2">
        <f t="shared" si="33"/>
        <v>1254151</v>
      </c>
      <c r="Y62" s="2">
        <f t="shared" si="33"/>
        <v>1282369</v>
      </c>
      <c r="Z62" s="2">
        <f t="shared" si="33"/>
        <v>1311222</v>
      </c>
      <c r="AA62" s="2">
        <f t="shared" si="33"/>
        <v>1340724</v>
      </c>
      <c r="AB62" s="2">
        <f t="shared" si="33"/>
        <v>1370890</v>
      </c>
      <c r="AC62" s="2">
        <f t="shared" si="33"/>
        <v>1401735</v>
      </c>
      <c r="AD62" s="2">
        <f t="shared" si="33"/>
        <v>1433274</v>
      </c>
      <c r="AE62" s="2">
        <f t="shared" si="33"/>
        <v>1465523</v>
      </c>
      <c r="AF62" s="2">
        <f t="shared" si="33"/>
        <v>1498497</v>
      </c>
      <c r="AG62" s="2">
        <f t="shared" si="33"/>
        <v>1532213</v>
      </c>
      <c r="AH62" s="2">
        <f t="shared" si="33"/>
        <v>1566688</v>
      </c>
      <c r="AI62" s="2">
        <f t="shared" si="33"/>
        <v>1601938</v>
      </c>
      <c r="AJ62" s="2">
        <f t="shared" si="33"/>
        <v>1637982</v>
      </c>
    </row>
    <row r="63" spans="1:36" ht="24" customHeight="1" x14ac:dyDescent="0.2">
      <c r="A63" s="2"/>
      <c r="B63" s="2"/>
    </row>
    <row r="64" spans="1:36" ht="24" customHeight="1" x14ac:dyDescent="0.2">
      <c r="A64" s="22" t="s">
        <v>55</v>
      </c>
      <c r="B64" s="24">
        <f>SUM(B65:B66)</f>
        <v>0</v>
      </c>
      <c r="C64" s="24">
        <f t="shared" ref="C64:AJ64" si="34">SUM(C65:C66)</f>
        <v>0</v>
      </c>
      <c r="D64" s="24">
        <f t="shared" si="34"/>
        <v>0</v>
      </c>
      <c r="E64" s="24">
        <f t="shared" si="34"/>
        <v>0</v>
      </c>
      <c r="F64" s="24">
        <f t="shared" si="34"/>
        <v>0</v>
      </c>
      <c r="G64" s="24">
        <f t="shared" si="34"/>
        <v>0</v>
      </c>
      <c r="H64" s="24">
        <f t="shared" si="34"/>
        <v>0</v>
      </c>
      <c r="I64" s="24">
        <f t="shared" si="34"/>
        <v>0</v>
      </c>
      <c r="J64" s="24">
        <f t="shared" si="34"/>
        <v>0</v>
      </c>
      <c r="K64" s="24">
        <f t="shared" si="34"/>
        <v>0</v>
      </c>
      <c r="L64" s="24">
        <f t="shared" si="34"/>
        <v>0</v>
      </c>
      <c r="M64" s="24">
        <f t="shared" si="34"/>
        <v>0</v>
      </c>
      <c r="N64" s="24">
        <f t="shared" si="34"/>
        <v>0</v>
      </c>
      <c r="O64" s="24">
        <f t="shared" si="34"/>
        <v>0</v>
      </c>
      <c r="P64" s="24">
        <f t="shared" si="34"/>
        <v>0</v>
      </c>
      <c r="Q64" s="24">
        <f t="shared" si="34"/>
        <v>0</v>
      </c>
      <c r="R64" s="24">
        <f t="shared" si="34"/>
        <v>0</v>
      </c>
      <c r="S64" s="24">
        <f t="shared" si="34"/>
        <v>0</v>
      </c>
      <c r="T64" s="24">
        <f t="shared" si="34"/>
        <v>0</v>
      </c>
      <c r="U64" s="24">
        <f t="shared" si="34"/>
        <v>0</v>
      </c>
      <c r="V64" s="24">
        <f t="shared" si="34"/>
        <v>0</v>
      </c>
      <c r="W64" s="24">
        <f t="shared" si="34"/>
        <v>0</v>
      </c>
      <c r="X64" s="24">
        <f t="shared" si="34"/>
        <v>0</v>
      </c>
      <c r="Y64" s="24">
        <f t="shared" si="34"/>
        <v>0</v>
      </c>
      <c r="Z64" s="24">
        <f t="shared" si="34"/>
        <v>0</v>
      </c>
      <c r="AA64" s="24">
        <f t="shared" si="34"/>
        <v>0</v>
      </c>
      <c r="AB64" s="24">
        <f t="shared" si="34"/>
        <v>0</v>
      </c>
      <c r="AC64" s="24">
        <f t="shared" si="34"/>
        <v>0</v>
      </c>
      <c r="AD64" s="24">
        <f t="shared" si="34"/>
        <v>0</v>
      </c>
      <c r="AE64" s="24">
        <f t="shared" si="34"/>
        <v>0</v>
      </c>
      <c r="AF64" s="24">
        <f t="shared" si="34"/>
        <v>0</v>
      </c>
      <c r="AG64" s="24">
        <f t="shared" si="34"/>
        <v>0</v>
      </c>
      <c r="AH64" s="24">
        <f t="shared" si="34"/>
        <v>0</v>
      </c>
      <c r="AI64" s="24">
        <f t="shared" si="34"/>
        <v>0</v>
      </c>
      <c r="AJ64" s="24">
        <f t="shared" si="34"/>
        <v>0</v>
      </c>
    </row>
    <row r="65" spans="1:36" ht="24" customHeight="1" x14ac:dyDescent="0.2">
      <c r="A65" s="3" t="s">
        <v>57</v>
      </c>
      <c r="B65" s="2">
        <f>MIN(B$24,Tables!$M$59*Projections!B$41+MAX(0,B$41-MIN(B$25,(1-Tables!$M$59)*Projections!B$41)-MIN(B$24,Tables!$M$59*Projections!B$41)))</f>
        <v>0</v>
      </c>
      <c r="C65" s="2">
        <f>MIN(C$24,Tables!$M$59*Projections!C$41+MAX(0,C$41-MIN(C$25,(1-Tables!$M$59)*Projections!C$41)-MIN(C$24,Tables!$M$59*Projections!C$41)))</f>
        <v>0</v>
      </c>
      <c r="D65" s="2">
        <f>MIN(D$24,Tables!$M$59*Projections!D$41+MAX(0,D$41-MIN(D$25,(1-Tables!$M$59)*Projections!D$41)-MIN(D$24,Tables!$M$59*Projections!D$41)))</f>
        <v>0</v>
      </c>
      <c r="E65" s="2">
        <f>MIN(E$24,Tables!$M$59*Projections!E$41+MAX(0,E$41-MIN(E$25,(1-Tables!$M$59)*Projections!E$41)-MIN(E$24,Tables!$M$59*Projections!E$41)))</f>
        <v>0</v>
      </c>
      <c r="F65" s="2">
        <f>MIN(F$24,Tables!$M$59*Projections!F$41+MAX(0,F$41-MIN(F$25,(1-Tables!$M$59)*Projections!F$41)-MIN(F$24,Tables!$M$59*Projections!F$41)))</f>
        <v>0</v>
      </c>
      <c r="G65" s="2">
        <f>MIN(G$24,Tables!$M$59*Projections!G$41+MAX(0,G$41-MIN(G$25,(1-Tables!$M$59)*Projections!G$41)-MIN(G$24,Tables!$M$59*Projections!G$41)))</f>
        <v>0</v>
      </c>
      <c r="H65" s="2">
        <f>MIN(H$24,Tables!$M$59*Projections!H$41+MAX(0,H$41-MIN(H$25,(1-Tables!$M$59)*Projections!H$41)-MIN(H$24,Tables!$M$59*Projections!H$41)))</f>
        <v>0</v>
      </c>
      <c r="I65" s="2">
        <f>MIN(I$24,Tables!$M$59*Projections!I$41+MAX(0,I$41-MIN(I$25,(1-Tables!$M$59)*Projections!I$41)-MIN(I$24,Tables!$M$59*Projections!I$41)))</f>
        <v>0</v>
      </c>
      <c r="J65" s="2">
        <f>MIN(J$24,Tables!$M$59*Projections!J$41+MAX(0,J$41-MIN(J$25,(1-Tables!$M$59)*Projections!J$41)-MIN(J$24,Tables!$M$59*Projections!J$41)))</f>
        <v>0</v>
      </c>
      <c r="K65" s="2">
        <f>MIN(K$24,Tables!$M$59*Projections!K$41+MAX(0,K$41-MIN(K$25,(1-Tables!$M$59)*Projections!K$41)-MIN(K$24,Tables!$M$59*Projections!K$41)))</f>
        <v>0</v>
      </c>
      <c r="L65" s="2">
        <f>MIN(L$24,Tables!$M$59*Projections!L$41+MAX(0,L$41-MIN(L$25,(1-Tables!$M$59)*Projections!L$41)-MIN(L$24,Tables!$M$59*Projections!L$41)))</f>
        <v>0</v>
      </c>
      <c r="M65" s="2">
        <f>MIN(M$24,Tables!$M$59*Projections!M$41+MAX(0,M$41-MIN(M$25,(1-Tables!$M$59)*Projections!M$41)-MIN(M$24,Tables!$M$59*Projections!M$41)))</f>
        <v>0</v>
      </c>
      <c r="N65" s="2">
        <f>MIN(N$24,Tables!$M$59*Projections!N$41+MAX(0,N$41-MIN(N$25,(1-Tables!$M$59)*Projections!N$41)-MIN(N$24,Tables!$M$59*Projections!N$41)))</f>
        <v>0</v>
      </c>
      <c r="O65" s="2">
        <f>MIN(O$24,Tables!$M$59*Projections!O$41+MAX(0,O$41-MIN(O$25,(1-Tables!$M$59)*Projections!O$41)-MIN(O$24,Tables!$M$59*Projections!O$41)))</f>
        <v>0</v>
      </c>
      <c r="P65" s="2">
        <f>MIN(P$24,Tables!$M$59*Projections!P$41+MAX(0,P$41-MIN(P$25,(1-Tables!$M$59)*Projections!P$41)-MIN(P$24,Tables!$M$59*Projections!P$41)))</f>
        <v>0</v>
      </c>
      <c r="Q65" s="2">
        <f>MIN(Q$24,Tables!$M$59*Projections!Q$41+MAX(0,Q$41-MIN(Q$25,(1-Tables!$M$59)*Projections!Q$41)-MIN(Q$24,Tables!$M$59*Projections!Q$41)))</f>
        <v>0</v>
      </c>
      <c r="R65" s="2">
        <f>MIN(R$24,Tables!$M$59*Projections!R$41+MAX(0,R$41-MIN(R$25,(1-Tables!$M$59)*Projections!R$41)-MIN(R$24,Tables!$M$59*Projections!R$41)))</f>
        <v>0</v>
      </c>
      <c r="S65" s="2">
        <f>MIN(S$24,Tables!$M$59*Projections!S$41+MAX(0,S$41-MIN(S$25,(1-Tables!$M$59)*Projections!S$41)-MIN(S$24,Tables!$M$59*Projections!S$41)))</f>
        <v>0</v>
      </c>
      <c r="T65" s="2">
        <f>MIN(T$24,Tables!$M$59*Projections!T$41+MAX(0,T$41-MIN(T$25,(1-Tables!$M$59)*Projections!T$41)-MIN(T$24,Tables!$M$59*Projections!T$41)))</f>
        <v>0</v>
      </c>
      <c r="U65" s="2">
        <f>MIN(U$24,Tables!$M$59*Projections!U$41+MAX(0,U$41-MIN(U$25,(1-Tables!$M$59)*Projections!U$41)-MIN(U$24,Tables!$M$59*Projections!U$41)))</f>
        <v>0</v>
      </c>
      <c r="V65" s="2">
        <f>MIN(V$24,Tables!$M$59*Projections!V$41+MAX(0,V$41-MIN(V$25,(1-Tables!$M$59)*Projections!V$41)-MIN(V$24,Tables!$M$59*Projections!V$41)))</f>
        <v>0</v>
      </c>
      <c r="W65" s="2">
        <f>MIN(W$24,Tables!$M$59*Projections!W$41+MAX(0,W$41-MIN(W$25,(1-Tables!$M$59)*Projections!W$41)-MIN(W$24,Tables!$M$59*Projections!W$41)))</f>
        <v>0</v>
      </c>
      <c r="X65" s="2">
        <f>MIN(X$24,Tables!$M$59*Projections!X$41+MAX(0,X$41-MIN(X$25,(1-Tables!$M$59)*Projections!X$41)-MIN(X$24,Tables!$M$59*Projections!X$41)))</f>
        <v>0</v>
      </c>
      <c r="Y65" s="2">
        <f>MIN(Y$24,Tables!$M$59*Projections!Y$41+MAX(0,Y$41-MIN(Y$25,(1-Tables!$M$59)*Projections!Y$41)-MIN(Y$24,Tables!$M$59*Projections!Y$41)))</f>
        <v>0</v>
      </c>
      <c r="Z65" s="2">
        <f>MIN(Z$24,Tables!$M$59*Projections!Z$41+MAX(0,Z$41-MIN(Z$25,(1-Tables!$M$59)*Projections!Z$41)-MIN(Z$24,Tables!$M$59*Projections!Z$41)))</f>
        <v>0</v>
      </c>
      <c r="AA65" s="2">
        <f>MIN(AA$24,Tables!$M$59*Projections!AA$41+MAX(0,AA$41-MIN(AA$25,(1-Tables!$M$59)*Projections!AA$41)-MIN(AA$24,Tables!$M$59*Projections!AA$41)))</f>
        <v>0</v>
      </c>
      <c r="AB65" s="2">
        <f>MIN(AB$24,Tables!$M$59*Projections!AB$41+MAX(0,AB$41-MIN(AB$25,(1-Tables!$M$59)*Projections!AB$41)-MIN(AB$24,Tables!$M$59*Projections!AB$41)))</f>
        <v>0</v>
      </c>
      <c r="AC65" s="2">
        <f>MIN(AC$24,Tables!$M$59*Projections!AC$41+MAX(0,AC$41-MIN(AC$25,(1-Tables!$M$59)*Projections!AC$41)-MIN(AC$24,Tables!$M$59*Projections!AC$41)))</f>
        <v>0</v>
      </c>
      <c r="AD65" s="2">
        <f>MIN(AD$24,Tables!$M$59*Projections!AD$41+MAX(0,AD$41-MIN(AD$25,(1-Tables!$M$59)*Projections!AD$41)-MIN(AD$24,Tables!$M$59*Projections!AD$41)))</f>
        <v>0</v>
      </c>
      <c r="AE65" s="2">
        <f>MIN(AE$24,Tables!$M$59*Projections!AE$41+MAX(0,AE$41-MIN(AE$25,(1-Tables!$M$59)*Projections!AE$41)-MIN(AE$24,Tables!$M$59*Projections!AE$41)))</f>
        <v>0</v>
      </c>
      <c r="AF65" s="2">
        <f>MIN(AF$24,Tables!$M$59*Projections!AF$41+MAX(0,AF$41-MIN(AF$25,(1-Tables!$M$59)*Projections!AF$41)-MIN(AF$24,Tables!$M$59*Projections!AF$41)))</f>
        <v>0</v>
      </c>
      <c r="AG65" s="2">
        <f>MIN(AG$24,Tables!$M$59*Projections!AG$41+MAX(0,AG$41-MIN(AG$25,(1-Tables!$M$59)*Projections!AG$41)-MIN(AG$24,Tables!$M$59*Projections!AG$41)))</f>
        <v>0</v>
      </c>
      <c r="AH65" s="2">
        <f>MIN(AH$24,Tables!$M$59*Projections!AH$41+MAX(0,AH$41-MIN(AH$25,(1-Tables!$M$59)*Projections!AH$41)-MIN(AH$24,Tables!$M$59*Projections!AH$41)))</f>
        <v>0</v>
      </c>
      <c r="AI65" s="2">
        <f>MIN(AI$24,Tables!$M$59*Projections!AI$41+MAX(0,AI$41-MIN(AI$25,(1-Tables!$M$59)*Projections!AI$41)-MIN(AI$24,Tables!$M$59*Projections!AI$41)))</f>
        <v>0</v>
      </c>
      <c r="AJ65" s="2">
        <f>MIN(AJ$24,Tables!$M$59*Projections!AJ$41+MAX(0,AJ$41-MIN(AJ$25,(1-Tables!$M$59)*Projections!AJ$41)-MIN(AJ$24,Tables!$M$59*Projections!AJ$41)))</f>
        <v>0</v>
      </c>
    </row>
    <row r="66" spans="1:36" ht="24" customHeight="1" x14ac:dyDescent="0.2">
      <c r="A66" s="1" t="s">
        <v>56</v>
      </c>
      <c r="B66" s="2">
        <f>MIN(B$25,(1-Tables!$M$59)*Projections!B$41+MAX(0,B$41-MIN(B$24,Tables!$M$59*Projections!B$41)-(1-Tables!$M$59)*Projections!B$41))</f>
        <v>0</v>
      </c>
      <c r="C66" s="2">
        <f>MIN(C$25,(1-Tables!$M$59)*Projections!C$41+MAX(0,C$41-MIN(C$24,Tables!$M$59*Projections!C$41)-(1-Tables!$M$59)*Projections!C$41))</f>
        <v>0</v>
      </c>
      <c r="D66" s="2">
        <f>MIN(D$25,(1-Tables!$M$59)*Projections!D$41+MAX(0,D$41-MIN(D$24,Tables!$M$59*Projections!D$41)-(1-Tables!$M$59)*Projections!D$41))</f>
        <v>0</v>
      </c>
      <c r="E66" s="2">
        <f>MIN(E$25,(1-Tables!$M$59)*Projections!E$41+MAX(0,E$41-MIN(E$24,Tables!$M$59*Projections!E$41)-(1-Tables!$M$59)*Projections!E$41))</f>
        <v>0</v>
      </c>
      <c r="F66" s="2">
        <f>MIN(F$25,(1-Tables!$M$59)*Projections!F$41+MAX(0,F$41-MIN(F$24,Tables!$M$59*Projections!F$41)-(1-Tables!$M$59)*Projections!F$41))</f>
        <v>0</v>
      </c>
      <c r="G66" s="2">
        <f>MIN(G$25,(1-Tables!$M$59)*Projections!G$41+MAX(0,G$41-MIN(G$24,Tables!$M$59*Projections!G$41)-(1-Tables!$M$59)*Projections!G$41))</f>
        <v>0</v>
      </c>
      <c r="H66" s="2">
        <f>MIN(H$25,(1-Tables!$M$59)*Projections!H$41+MAX(0,H$41-MIN(H$24,Tables!$M$59*Projections!H$41)-(1-Tables!$M$59)*Projections!H$41))</f>
        <v>0</v>
      </c>
      <c r="I66" s="2">
        <f>MIN(I$25,(1-Tables!$M$59)*Projections!I$41+MAX(0,I$41-MIN(I$24,Tables!$M$59*Projections!I$41)-(1-Tables!$M$59)*Projections!I$41))</f>
        <v>0</v>
      </c>
      <c r="J66" s="2">
        <f>MIN(J$25,(1-Tables!$M$59)*Projections!J$41+MAX(0,J$41-MIN(J$24,Tables!$M$59*Projections!J$41)-(1-Tables!$M$59)*Projections!J$41))</f>
        <v>0</v>
      </c>
      <c r="K66" s="2">
        <f>MIN(K$25,(1-Tables!$M$59)*Projections!K$41+MAX(0,K$41-MIN(K$24,Tables!$M$59*Projections!K$41)-(1-Tables!$M$59)*Projections!K$41))</f>
        <v>0</v>
      </c>
      <c r="L66" s="2">
        <f>MIN(L$25,(1-Tables!$M$59)*Projections!L$41+MAX(0,L$41-MIN(L$24,Tables!$M$59*Projections!L$41)-(1-Tables!$M$59)*Projections!L$41))</f>
        <v>0</v>
      </c>
      <c r="M66" s="2">
        <f>MIN(M$25,(1-Tables!$M$59)*Projections!M$41+MAX(0,M$41-MIN(M$24,Tables!$M$59*Projections!M$41)-(1-Tables!$M$59)*Projections!M$41))</f>
        <v>0</v>
      </c>
      <c r="N66" s="2">
        <f>MIN(N$25,(1-Tables!$M$59)*Projections!N$41+MAX(0,N$41-MIN(N$24,Tables!$M$59*Projections!N$41)-(1-Tables!$M$59)*Projections!N$41))</f>
        <v>0</v>
      </c>
      <c r="O66" s="2">
        <f>MIN(O$25,(1-Tables!$M$59)*Projections!O$41+MAX(0,O$41-MIN(O$24,Tables!$M$59*Projections!O$41)-(1-Tables!$M$59)*Projections!O$41))</f>
        <v>0</v>
      </c>
      <c r="P66" s="2">
        <f>MIN(P$25,(1-Tables!$M$59)*Projections!P$41+MAX(0,P$41-MIN(P$24,Tables!$M$59*Projections!P$41)-(1-Tables!$M$59)*Projections!P$41))</f>
        <v>0</v>
      </c>
      <c r="Q66" s="2">
        <f>MIN(Q$25,(1-Tables!$M$59)*Projections!Q$41+MAX(0,Q$41-MIN(Q$24,Tables!$M$59*Projections!Q$41)-(1-Tables!$M$59)*Projections!Q$41))</f>
        <v>0</v>
      </c>
      <c r="R66" s="2">
        <f>MIN(R$25,(1-Tables!$M$59)*Projections!R$41+MAX(0,R$41-MIN(R$24,Tables!$M$59*Projections!R$41)-(1-Tables!$M$59)*Projections!R$41))</f>
        <v>0</v>
      </c>
      <c r="S66" s="2">
        <f>MIN(S$25,(1-Tables!$M$59)*Projections!S$41+MAX(0,S$41-MIN(S$24,Tables!$M$59*Projections!S$41)-(1-Tables!$M$59)*Projections!S$41))</f>
        <v>0</v>
      </c>
      <c r="T66" s="2">
        <f>MIN(T$25,(1-Tables!$M$59)*Projections!T$41+MAX(0,T$41-MIN(T$24,Tables!$M$59*Projections!T$41)-(1-Tables!$M$59)*Projections!T$41))</f>
        <v>0</v>
      </c>
      <c r="U66" s="2">
        <f>MIN(U$25,(1-Tables!$M$59)*Projections!U$41+MAX(0,U$41-MIN(U$24,Tables!$M$59*Projections!U$41)-(1-Tables!$M$59)*Projections!U$41))</f>
        <v>0</v>
      </c>
      <c r="V66" s="2">
        <f>MIN(V$25,(1-Tables!$M$59)*Projections!V$41+MAX(0,V$41-MIN(V$24,Tables!$M$59*Projections!V$41)-(1-Tables!$M$59)*Projections!V$41))</f>
        <v>0</v>
      </c>
      <c r="W66" s="2">
        <f>MIN(W$25,(1-Tables!$M$59)*Projections!W$41+MAX(0,W$41-MIN(W$24,Tables!$M$59*Projections!W$41)-(1-Tables!$M$59)*Projections!W$41))</f>
        <v>0</v>
      </c>
      <c r="X66" s="2">
        <f>MIN(X$25,(1-Tables!$M$59)*Projections!X$41+MAX(0,X$41-MIN(X$24,Tables!$M$59*Projections!X$41)-(1-Tables!$M$59)*Projections!X$41))</f>
        <v>0</v>
      </c>
      <c r="Y66" s="2">
        <f>MIN(Y$25,(1-Tables!$M$59)*Projections!Y$41+MAX(0,Y$41-MIN(Y$24,Tables!$M$59*Projections!Y$41)-(1-Tables!$M$59)*Projections!Y$41))</f>
        <v>0</v>
      </c>
      <c r="Z66" s="2">
        <f>MIN(Z$25,(1-Tables!$M$59)*Projections!Z$41+MAX(0,Z$41-MIN(Z$24,Tables!$M$59*Projections!Z$41)-(1-Tables!$M$59)*Projections!Z$41))</f>
        <v>0</v>
      </c>
      <c r="AA66" s="2">
        <f>MIN(AA$25,(1-Tables!$M$59)*Projections!AA$41+MAX(0,AA$41-MIN(AA$24,Tables!$M$59*Projections!AA$41)-(1-Tables!$M$59)*Projections!AA$41))</f>
        <v>0</v>
      </c>
      <c r="AB66" s="2">
        <f>MIN(AB$25,(1-Tables!$M$59)*Projections!AB$41+MAX(0,AB$41-MIN(AB$24,Tables!$M$59*Projections!AB$41)-(1-Tables!$M$59)*Projections!AB$41))</f>
        <v>0</v>
      </c>
      <c r="AC66" s="2">
        <f>MIN(AC$25,(1-Tables!$M$59)*Projections!AC$41+MAX(0,AC$41-MIN(AC$24,Tables!$M$59*Projections!AC$41)-(1-Tables!$M$59)*Projections!AC$41))</f>
        <v>0</v>
      </c>
      <c r="AD66" s="2">
        <f>MIN(AD$25,(1-Tables!$M$59)*Projections!AD$41+MAX(0,AD$41-MIN(AD$24,Tables!$M$59*Projections!AD$41)-(1-Tables!$M$59)*Projections!AD$41))</f>
        <v>0</v>
      </c>
      <c r="AE66" s="2">
        <f>MIN(AE$25,(1-Tables!$M$59)*Projections!AE$41+MAX(0,AE$41-MIN(AE$24,Tables!$M$59*Projections!AE$41)-(1-Tables!$M$59)*Projections!AE$41))</f>
        <v>0</v>
      </c>
      <c r="AF66" s="2">
        <f>MIN(AF$25,(1-Tables!$M$59)*Projections!AF$41+MAX(0,AF$41-MIN(AF$24,Tables!$M$59*Projections!AF$41)-(1-Tables!$M$59)*Projections!AF$41))</f>
        <v>0</v>
      </c>
      <c r="AG66" s="2">
        <f>MIN(AG$25,(1-Tables!$M$59)*Projections!AG$41+MAX(0,AG$41-MIN(AG$24,Tables!$M$59*Projections!AG$41)-(1-Tables!$M$59)*Projections!AG$41))</f>
        <v>0</v>
      </c>
      <c r="AH66" s="2">
        <f>MIN(AH$25,(1-Tables!$M$59)*Projections!AH$41+MAX(0,AH$41-MIN(AH$24,Tables!$M$59*Projections!AH$41)-(1-Tables!$M$59)*Projections!AH$41))</f>
        <v>0</v>
      </c>
      <c r="AI66" s="2">
        <f>MIN(AI$25,(1-Tables!$M$59)*Projections!AI$41+MAX(0,AI$41-MIN(AI$24,Tables!$M$59*Projections!AI$41)-(1-Tables!$M$59)*Projections!AI$41))</f>
        <v>0</v>
      </c>
      <c r="AJ66" s="2">
        <f>MIN(AJ$25,(1-Tables!$M$59)*Projections!AJ$41+MAX(0,AJ$41-MIN(AJ$24,Tables!$M$59*Projections!AJ$41)-(1-Tables!$M$59)*Projections!AJ$41))</f>
        <v>0</v>
      </c>
    </row>
    <row r="67" spans="1:36" ht="24" customHeight="1" x14ac:dyDescent="0.2">
      <c r="A67" s="1"/>
      <c r="B67" s="2"/>
    </row>
    <row r="68" spans="1:36" ht="24" customHeight="1" x14ac:dyDescent="0.2">
      <c r="A68" s="23" t="s">
        <v>91</v>
      </c>
      <c r="B68" s="42" t="str">
        <f t="shared" ref="B68:AJ68" si="35">B4&amp;"/"&amp;B5</f>
        <v>60/60</v>
      </c>
      <c r="C68" s="42" t="str">
        <f t="shared" si="35"/>
        <v>61/61</v>
      </c>
      <c r="D68" s="42" t="str">
        <f t="shared" si="35"/>
        <v>62/62</v>
      </c>
      <c r="E68" s="42" t="str">
        <f t="shared" si="35"/>
        <v>63/63</v>
      </c>
      <c r="F68" s="42" t="str">
        <f t="shared" si="35"/>
        <v>64/64</v>
      </c>
      <c r="G68" s="42" t="str">
        <f t="shared" si="35"/>
        <v>65/65</v>
      </c>
      <c r="H68" s="42" t="str">
        <f t="shared" si="35"/>
        <v>66/66</v>
      </c>
      <c r="I68" s="42" t="str">
        <f t="shared" si="35"/>
        <v>67/67</v>
      </c>
      <c r="J68" s="42" t="str">
        <f t="shared" si="35"/>
        <v>68/68</v>
      </c>
      <c r="K68" s="42" t="str">
        <f t="shared" si="35"/>
        <v>69/69</v>
      </c>
      <c r="L68" s="42" t="str">
        <f t="shared" si="35"/>
        <v>70/70</v>
      </c>
      <c r="M68" s="42" t="str">
        <f t="shared" si="35"/>
        <v>71/71</v>
      </c>
      <c r="N68" s="42" t="str">
        <f t="shared" si="35"/>
        <v>72/72</v>
      </c>
      <c r="O68" s="42" t="str">
        <f t="shared" si="35"/>
        <v>73/73</v>
      </c>
      <c r="P68" s="42" t="str">
        <f t="shared" si="35"/>
        <v>74/74</v>
      </c>
      <c r="Q68" s="42" t="str">
        <f t="shared" si="35"/>
        <v>75/75</v>
      </c>
      <c r="R68" s="42" t="str">
        <f t="shared" si="35"/>
        <v>76/76</v>
      </c>
      <c r="S68" s="42" t="str">
        <f t="shared" si="35"/>
        <v>77/77</v>
      </c>
      <c r="T68" s="42" t="str">
        <f t="shared" si="35"/>
        <v>78/78</v>
      </c>
      <c r="U68" s="42" t="str">
        <f t="shared" si="35"/>
        <v>79/79</v>
      </c>
      <c r="V68" s="42" t="str">
        <f t="shared" si="35"/>
        <v>80/80</v>
      </c>
      <c r="W68" s="42" t="str">
        <f t="shared" si="35"/>
        <v>81/81</v>
      </c>
      <c r="X68" s="42" t="str">
        <f t="shared" si="35"/>
        <v>82/82</v>
      </c>
      <c r="Y68" s="42" t="str">
        <f t="shared" si="35"/>
        <v>83/83</v>
      </c>
      <c r="Z68" s="42" t="str">
        <f t="shared" si="35"/>
        <v>84/84</v>
      </c>
      <c r="AA68" s="42" t="str">
        <f t="shared" si="35"/>
        <v>85/85</v>
      </c>
      <c r="AB68" s="42" t="str">
        <f t="shared" si="35"/>
        <v>86/86</v>
      </c>
      <c r="AC68" s="42" t="str">
        <f t="shared" si="35"/>
        <v>87/87</v>
      </c>
      <c r="AD68" s="42" t="str">
        <f t="shared" si="35"/>
        <v>88/88</v>
      </c>
      <c r="AE68" s="42" t="str">
        <f t="shared" si="35"/>
        <v>89/89</v>
      </c>
      <c r="AF68" s="42" t="str">
        <f t="shared" si="35"/>
        <v>90/90</v>
      </c>
      <c r="AG68" s="42" t="str">
        <f t="shared" si="35"/>
        <v>91/91</v>
      </c>
      <c r="AH68" s="42" t="str">
        <f t="shared" si="35"/>
        <v>92/92</v>
      </c>
      <c r="AI68" s="42" t="str">
        <f t="shared" si="35"/>
        <v>93/93</v>
      </c>
      <c r="AJ68" s="42" t="str">
        <f t="shared" si="35"/>
        <v>94/94</v>
      </c>
    </row>
    <row r="69" spans="1:36" ht="24" customHeight="1" x14ac:dyDescent="0.2">
      <c r="A69" s="54" t="str">
        <f>Assumptions!$A$4</f>
        <v>Jason</v>
      </c>
      <c r="B69" s="41">
        <f>1-VLOOKUP(B4,Tables!$A$5:$G$55,6)</f>
        <v>0.99289499999999997</v>
      </c>
      <c r="C69" s="41">
        <f>B69*(1-VLOOKUP(C4,Tables!$A$5:$G$55,6))</f>
        <v>0.98542942249499987</v>
      </c>
      <c r="D69" s="41">
        <f>C69*(1-VLOOKUP(D4,Tables!$A$5:$G$55,6))</f>
        <v>0.97761398174519198</v>
      </c>
      <c r="E69" s="41">
        <f>D69*(1-VLOOKUP(E4,Tables!$A$5:$G$55,6))</f>
        <v>0.96945188261160131</v>
      </c>
      <c r="F69" s="41">
        <f>E69*(1-VLOOKUP(F4,Tables!$A$5:$G$55,6))</f>
        <v>0.96094785069733235</v>
      </c>
      <c r="G69" s="41">
        <f>F69*(1-VLOOKUP(G4,Tables!$A$5:$G$55,6))</f>
        <v>0.95209175530530576</v>
      </c>
      <c r="H69" s="41">
        <f>G69*(1-VLOOKUP(H4,Tables!$A$5:$G$55,6))</f>
        <v>0.94285646527884426</v>
      </c>
      <c r="I69" s="41">
        <f>H69*(1-VLOOKUP(I4,Tables!$A$5:$G$55,6))</f>
        <v>0.93320350078731951</v>
      </c>
      <c r="J69" s="41">
        <f>I69*(1-VLOOKUP(J4,Tables!$A$5:$G$55,6))</f>
        <v>0.9230707771757708</v>
      </c>
      <c r="K69" s="41">
        <f>J69*(1-VLOOKUP(K4,Tables!$A$5:$G$55,6))</f>
        <v>0.91237977143452098</v>
      </c>
      <c r="L69" s="41">
        <f>K69*(1-VLOOKUP(L4,Tables!$A$5:$G$55,6))</f>
        <v>0.9010471022935328</v>
      </c>
      <c r="M69" s="41">
        <f>L69*(1-VLOOKUP(M4,Tables!$A$5:$G$55,6))</f>
        <v>0.88896946693439027</v>
      </c>
      <c r="N69" s="41">
        <f>M69*(1-VLOOKUP(N4,Tables!$A$5:$G$55,6))</f>
        <v>0.87602607149582556</v>
      </c>
      <c r="O69" s="41">
        <f>N69*(1-VLOOKUP(O4,Tables!$A$5:$G$55,6))</f>
        <v>0.86208586862011249</v>
      </c>
      <c r="P69" s="41">
        <f>O69*(1-VLOOKUP(P4,Tables!$A$5:$G$55,6))</f>
        <v>0.84700626260620948</v>
      </c>
      <c r="Q69" s="41">
        <f>P69*(1-VLOOKUP(Q4,Tables!$A$5:$G$55,6))</f>
        <v>0.83062600849366797</v>
      </c>
      <c r="R69" s="41">
        <f>Q69*(1-VLOOKUP(R4,Tables!$A$5:$G$55,6))</f>
        <v>0.81276422680702021</v>
      </c>
      <c r="S69" s="41">
        <f>R69*(1-VLOOKUP(S4,Tables!$A$5:$G$55,6))</f>
        <v>0.79323512796530105</v>
      </c>
      <c r="T69" s="41">
        <f>S69*(1-VLOOKUP(T4,Tables!$A$5:$G$55,6))</f>
        <v>0.77183047127228532</v>
      </c>
      <c r="U69" s="41">
        <f>T69*(1-VLOOKUP(U4,Tables!$A$5:$G$55,6))</f>
        <v>0.74835833481042391</v>
      </c>
      <c r="V69" s="41">
        <f>U69*(1-VLOOKUP(V4,Tables!$A$5:$G$55,6))</f>
        <v>0.72261331137627571</v>
      </c>
      <c r="W69" s="41">
        <f>V69*(1-VLOOKUP(W4,Tables!$A$5:$G$55,6))</f>
        <v>0.69440031986021178</v>
      </c>
      <c r="X69" s="41">
        <f>W69*(1-VLOOKUP(X4,Tables!$A$5:$G$55,6))</f>
        <v>0.66355089125010203</v>
      </c>
      <c r="Y69" s="41">
        <f>X69*(1-VLOOKUP(Y4,Tables!$A$5:$G$55,6))</f>
        <v>0.62994137505739312</v>
      </c>
      <c r="Z69" s="41">
        <f>Y69*(1-VLOOKUP(Z4,Tables!$A$5:$G$55,6))</f>
        <v>0.59349233715519722</v>
      </c>
      <c r="AA69" s="41">
        <f>Z69*(1-VLOOKUP(AA4,Tables!$A$5:$G$55,6))</f>
        <v>0.55423163206770665</v>
      </c>
      <c r="AB69" s="41">
        <f>AA69*(1-VLOOKUP(AB4,Tables!$A$5:$G$55,6))</f>
        <v>0.51228183983650188</v>
      </c>
      <c r="AC69" s="41">
        <f>AB69*(1-VLOOKUP(AC4,Tables!$A$5:$G$55,6))</f>
        <v>0.46791003599722342</v>
      </c>
      <c r="AD69" s="41">
        <f>AC69*(1-VLOOKUP(AD4,Tables!$A$5:$G$55,6))</f>
        <v>0.42154061933993453</v>
      </c>
      <c r="AE69" s="41">
        <f>AD69*(1-VLOOKUP(AE4,Tables!$A$5:$G$55,6))</f>
        <v>0.37378091024995863</v>
      </c>
      <c r="AF69" s="41">
        <f>AE69*(1-VLOOKUP(AF4,Tables!$A$5:$G$55,6))</f>
        <v>0.32540543728358845</v>
      </c>
      <c r="AG69" s="41">
        <f>AF69*(1-VLOOKUP(AG4,Tables!$A$5:$G$55,6))</f>
        <v>0.27757083800290094</v>
      </c>
      <c r="AH69" s="41">
        <f>AG69*(1-VLOOKUP(AH4,Tables!$A$5:$G$55,6))</f>
        <v>0.23159650253364247</v>
      </c>
      <c r="AI69" s="41">
        <f>AH69*(1-VLOOKUP(AI4,Tables!$A$5:$G$55,6))</f>
        <v>0.18876712972359344</v>
      </c>
      <c r="AJ69" s="41">
        <f>AI69*(1-VLOOKUP(AJ4,Tables!$A$5:$G$55,6))</f>
        <v>0.15009572922702891</v>
      </c>
    </row>
    <row r="70" spans="1:36" ht="24" customHeight="1" x14ac:dyDescent="0.2">
      <c r="A70" s="54" t="str">
        <f>Assumptions!$A$5</f>
        <v>Charlene</v>
      </c>
      <c r="B70" s="40">
        <f>1-VLOOKUP(B5,Tables!$A$5:$G$55,7)</f>
        <v>0.99460000000000004</v>
      </c>
      <c r="C70" s="40">
        <f>B70*(1-VLOOKUP(C5,Tables!$A$5:$G$55,7))</f>
        <v>0.98869207600000009</v>
      </c>
      <c r="D70" s="40">
        <f>C70*(1-VLOOKUP(D5,Tables!$A$5:$G$55,7))</f>
        <v>0.98227447573468407</v>
      </c>
      <c r="E70" s="40">
        <f>D70*(1-VLOOKUP(E5,Tables!$A$5:$G$55,7))</f>
        <v>0.97535435205313326</v>
      </c>
      <c r="F70" s="40">
        <f>E70*(1-VLOOKUP(F5,Tables!$A$5:$G$55,7))</f>
        <v>0.96792702866224856</v>
      </c>
      <c r="G70" s="40">
        <f>F70*(1-VLOOKUP(G5,Tables!$A$5:$G$55,7))</f>
        <v>0.95998809117316075</v>
      </c>
      <c r="H70" s="40">
        <f>G70*(1-VLOOKUP(H5,Tables!$A$5:$G$55,7))</f>
        <v>0.95150563639955477</v>
      </c>
      <c r="I70" s="40">
        <f>H70*(1-VLOOKUP(I5,Tables!$A$5:$G$55,7))</f>
        <v>0.94244825424666734</v>
      </c>
      <c r="J70" s="40">
        <f>I70*(1-VLOOKUP(J5,Tables!$A$5:$G$55,7))</f>
        <v>0.93276177108952008</v>
      </c>
      <c r="K70" s="40">
        <f>J70*(1-VLOOKUP(K5,Tables!$A$5:$G$55,7))</f>
        <v>0.92238666190969132</v>
      </c>
      <c r="L70" s="40">
        <f>K70*(1-VLOOKUP(L5,Tables!$A$5:$G$55,7))</f>
        <v>0.91125068774045559</v>
      </c>
      <c r="M70" s="40">
        <f>L70*(1-VLOOKUP(M5,Tables!$A$5:$G$55,7))</f>
        <v>0.89927776495423373</v>
      </c>
      <c r="N70" s="40">
        <f>M70*(1-VLOOKUP(N5,Tables!$A$5:$G$55,7))</f>
        <v>0.88638212180479004</v>
      </c>
      <c r="O70" s="40">
        <f>N70*(1-VLOOKUP(O5,Tables!$A$5:$G$55,7))</f>
        <v>0.87247212716730749</v>
      </c>
      <c r="P70" s="40">
        <f>O70*(1-VLOOKUP(P5,Tables!$A$5:$G$55,7))</f>
        <v>0.85744728466535924</v>
      </c>
      <c r="Q70" s="40">
        <f>P70*(1-VLOOKUP(Q5,Tables!$A$5:$G$55,7))</f>
        <v>0.84119522883181197</v>
      </c>
      <c r="R70" s="40">
        <f>Q70*(1-VLOOKUP(R5,Tables!$A$5:$G$55,7))</f>
        <v>0.8235906950828199</v>
      </c>
      <c r="S70" s="40">
        <f>R70*(1-VLOOKUP(S5,Tables!$A$5:$G$55,7))</f>
        <v>0.8044940976359346</v>
      </c>
      <c r="T70" s="40">
        <f>S70*(1-VLOOKUP(T5,Tables!$A$5:$G$55,7))</f>
        <v>0.78376711170444235</v>
      </c>
      <c r="U70" s="40">
        <f>T70*(1-VLOOKUP(U5,Tables!$A$5:$G$55,7))</f>
        <v>0.76126280662607271</v>
      </c>
      <c r="V70" s="40">
        <f>U70*(1-VLOOKUP(V5,Tables!$A$5:$G$55,7))</f>
        <v>0.73683768947547512</v>
      </c>
      <c r="W70" s="40">
        <f>V70*(1-VLOOKUP(W5,Tables!$A$5:$G$55,7))</f>
        <v>0.71035795342879493</v>
      </c>
      <c r="X70" s="40">
        <f>W70*(1-VLOOKUP(X5,Tables!$A$5:$G$55,7))</f>
        <v>0.68173763148514877</v>
      </c>
      <c r="Y70" s="40">
        <f>X70*(1-VLOOKUP(Y5,Tables!$A$5:$G$55,7))</f>
        <v>0.65088218628413097</v>
      </c>
      <c r="Z70" s="40">
        <f>Y70*(1-VLOOKUP(Z5,Tables!$A$5:$G$55,7))</f>
        <v>0.61776269711724918</v>
      </c>
      <c r="AA70" s="40">
        <f>Z70*(1-VLOOKUP(AA5,Tables!$A$5:$G$55,7))</f>
        <v>0.58240875572392614</v>
      </c>
      <c r="AB70" s="40">
        <f>AA70*(1-VLOOKUP(AB5,Tables!$A$5:$G$55,7))</f>
        <v>0.54490803835161827</v>
      </c>
      <c r="AC70" s="40">
        <f>AB70*(1-VLOOKUP(AC5,Tables!$A$5:$G$55,7))</f>
        <v>0.50542400189266001</v>
      </c>
      <c r="AD70" s="40">
        <f>AC70*(1-VLOOKUP(AD5,Tables!$A$5:$G$55,7))</f>
        <v>0.46424458133845553</v>
      </c>
      <c r="AE70" s="40">
        <f>AD70*(1-VLOOKUP(AE5,Tables!$A$5:$G$55,7))</f>
        <v>0.42175784574352276</v>
      </c>
      <c r="AF70" s="40">
        <f>AE70*(1-VLOOKUP(AF5,Tables!$A$5:$G$55,7))</f>
        <v>0.37841126138938647</v>
      </c>
      <c r="AG70" s="40">
        <f>AF70*(1-VLOOKUP(AG5,Tables!$A$5:$G$55,7))</f>
        <v>0.33486558548500278</v>
      </c>
      <c r="AH70" s="40">
        <f>AG70*(1-VLOOKUP(AH5,Tables!$A$5:$G$55,7))</f>
        <v>0.29191773468420923</v>
      </c>
      <c r="AI70" s="40">
        <f>AH70*(1-VLOOKUP(AI5,Tables!$A$5:$G$55,7))</f>
        <v>0.25040790856531875</v>
      </c>
      <c r="AJ70" s="40">
        <f>AI70*(1-VLOOKUP(AJ5,Tables!$A$5:$G$55,7))</f>
        <v>0.21113318096220846</v>
      </c>
    </row>
    <row r="71" spans="1:36" ht="24" customHeight="1" x14ac:dyDescent="0.2">
      <c r="A71" s="1" t="s">
        <v>92</v>
      </c>
      <c r="B71" s="40">
        <f>B69+B70-B69*B70</f>
        <v>0.99996163299999996</v>
      </c>
      <c r="C71" s="40">
        <f>C69+C70-C69*C70</f>
        <v>0.99983523701693733</v>
      </c>
      <c r="D71" s="40">
        <f t="shared" ref="D71:AF71" si="36">D69+D70-D69*D70</f>
        <v>0.99960319609022064</v>
      </c>
      <c r="E71" s="40">
        <f t="shared" si="36"/>
        <v>0.99924712185340592</v>
      </c>
      <c r="F71" s="40">
        <f t="shared" si="36"/>
        <v>0.99874748153473791</v>
      </c>
      <c r="G71" s="40">
        <f t="shared" si="36"/>
        <v>0.998083099681222</v>
      </c>
      <c r="H71" s="40">
        <f t="shared" si="36"/>
        <v>0.99722886064981775</v>
      </c>
      <c r="I71" s="40">
        <f t="shared" si="36"/>
        <v>0.99615574486009917</v>
      </c>
      <c r="J71" s="40">
        <f t="shared" si="36"/>
        <v>0.99482741530583918</v>
      </c>
      <c r="K71" s="40">
        <f t="shared" si="36"/>
        <v>0.99319950157679726</v>
      </c>
      <c r="L71" s="40">
        <f t="shared" si="36"/>
        <v>0.99121799838246205</v>
      </c>
      <c r="M71" s="40">
        <f t="shared" si="36"/>
        <v>0.98881675655130896</v>
      </c>
      <c r="N71" s="40">
        <f t="shared" si="36"/>
        <v>0.9859143452918312</v>
      </c>
      <c r="O71" s="40">
        <f t="shared" si="36"/>
        <v>0.98241210419155445</v>
      </c>
      <c r="P71" s="40">
        <f t="shared" si="36"/>
        <v>0.97819032730532018</v>
      </c>
      <c r="Q71" s="40">
        <f t="shared" si="36"/>
        <v>0.97310260203699428</v>
      </c>
      <c r="R71" s="40">
        <f t="shared" si="36"/>
        <v>0.9669698673953957</v>
      </c>
      <c r="S71" s="40">
        <f t="shared" si="36"/>
        <v>0.95957624711566569</v>
      </c>
      <c r="T71" s="40">
        <f t="shared" si="36"/>
        <v>0.95066224378217001</v>
      </c>
      <c r="U71" s="40">
        <f t="shared" si="36"/>
        <v>0.93992377511669911</v>
      </c>
      <c r="V71" s="40">
        <f t="shared" si="36"/>
        <v>0.92700227811303371</v>
      </c>
      <c r="W71" s="40">
        <f t="shared" si="36"/>
        <v>0.91148548321280609</v>
      </c>
      <c r="X71" s="40">
        <f t="shared" si="36"/>
        <v>0.89292090976454652</v>
      </c>
      <c r="Y71" s="40">
        <f t="shared" si="36"/>
        <v>0.87080594191333649</v>
      </c>
      <c r="Z71" s="40">
        <f t="shared" si="36"/>
        <v>0.84461760735303204</v>
      </c>
      <c r="AA71" s="40">
        <f t="shared" si="36"/>
        <v>0.81385103257623903</v>
      </c>
      <c r="AB71" s="40">
        <f t="shared" si="36"/>
        <v>0.77804338575965404</v>
      </c>
      <c r="AC71" s="40">
        <f t="shared" si="36"/>
        <v>0.73684107497042817</v>
      </c>
      <c r="AD71" s="40">
        <f t="shared" si="36"/>
        <v>0.69008725233576884</v>
      </c>
      <c r="AE71" s="40">
        <f t="shared" si="36"/>
        <v>0.63789372450640591</v>
      </c>
      <c r="AF71" s="40">
        <f t="shared" si="36"/>
        <v>0.58067961668752732</v>
      </c>
      <c r="AG71" s="40">
        <f t="shared" ref="AG71" si="37">AG69+AG70-AG69*AG70</f>
        <v>0.51948750230649943</v>
      </c>
      <c r="AH71" s="40">
        <f t="shared" ref="AH71" si="38">AH69+AH70-AH69*AH70</f>
        <v>0.45590711083744506</v>
      </c>
      <c r="AI71" s="40">
        <f t="shared" ref="AI71" si="39">AI69+AI70-AI69*AI70</f>
        <v>0.39190625612894892</v>
      </c>
      <c r="AJ71" s="40">
        <f t="shared" ref="AJ71" si="40">AJ69+AJ70-AJ69*AJ70</f>
        <v>0.32953872142869245</v>
      </c>
    </row>
    <row r="72" spans="1:36" ht="24" customHeight="1" x14ac:dyDescent="0.2">
      <c r="A72" s="52"/>
      <c r="B72" s="2"/>
    </row>
    <row r="73" spans="1:36" ht="24" customHeight="1" x14ac:dyDescent="0.2">
      <c r="A73" s="54" t="s">
        <v>27</v>
      </c>
      <c r="B73" s="45">
        <f>ROUND('Total Savings'!$B$22*(1+CHOOSE(MATCH('Total Savings'!$D$22,Tables!$L$27:$L$29),Projections!B$7,Projections!B$10,0))^(B$1-1),0)</f>
        <v>1000000</v>
      </c>
      <c r="C73" s="45">
        <f>ROUND('Total Savings'!$B$22*(1+CHOOSE(MATCH('Total Savings'!$D$22,Tables!$L$27:$L$29),Projections!C$7,Projections!C$10,0))^(C$1-1),0)</f>
        <v>1025000</v>
      </c>
      <c r="D73" s="45">
        <f>ROUND('Total Savings'!$B$22*(1+CHOOSE(MATCH('Total Savings'!$D$22,Tables!$L$27:$L$29),Projections!D$7,Projections!D$10,0))^(D$1-1),0)</f>
        <v>1050625</v>
      </c>
      <c r="E73" s="45">
        <f>ROUND('Total Savings'!$B$22*(1+CHOOSE(MATCH('Total Savings'!$D$22,Tables!$L$27:$L$29),Projections!E$7,Projections!E$10,0))^(E$1-1),0)</f>
        <v>1076891</v>
      </c>
      <c r="F73" s="45">
        <f>ROUND('Total Savings'!$B$22*(1+CHOOSE(MATCH('Total Savings'!$D$22,Tables!$L$27:$L$29),Projections!F$7,Projections!F$10,0))^(F$1-1),0)</f>
        <v>1103813</v>
      </c>
      <c r="G73" s="45">
        <f>ROUND('Total Savings'!$B$22*(1+CHOOSE(MATCH('Total Savings'!$D$22,Tables!$L$27:$L$29),Projections!G$7,Projections!G$10,0))^(G$1-1),0)</f>
        <v>1131408</v>
      </c>
      <c r="H73" s="45">
        <f>ROUND('Total Savings'!$B$22*(1+CHOOSE(MATCH('Total Savings'!$D$22,Tables!$L$27:$L$29),Projections!H$7,Projections!H$10,0))^(H$1-1),0)</f>
        <v>1159693</v>
      </c>
      <c r="I73" s="45">
        <f>ROUND('Total Savings'!$B$22*(1+CHOOSE(MATCH('Total Savings'!$D$22,Tables!$L$27:$L$29),Projections!I$7,Projections!I$10,0))^(I$1-1),0)</f>
        <v>1188686</v>
      </c>
      <c r="J73" s="45">
        <f>ROUND('Total Savings'!$B$22*(1+CHOOSE(MATCH('Total Savings'!$D$22,Tables!$L$27:$L$29),Projections!J$7,Projections!J$10,0))^(J$1-1),0)</f>
        <v>1218403</v>
      </c>
      <c r="K73" s="45">
        <f>ROUND('Total Savings'!$B$22*(1+CHOOSE(MATCH('Total Savings'!$D$22,Tables!$L$27:$L$29),Projections!K$7,Projections!K$10,0))^(K$1-1),0)</f>
        <v>1248863</v>
      </c>
      <c r="L73" s="45">
        <f>ROUND('Total Savings'!$B$22*(1+CHOOSE(MATCH('Total Savings'!$D$22,Tables!$L$27:$L$29),Projections!L$7,Projections!L$10,0))^(L$1-1),0)</f>
        <v>1280085</v>
      </c>
      <c r="M73" s="45">
        <f>ROUND('Total Savings'!$B$22*(1+CHOOSE(MATCH('Total Savings'!$D$22,Tables!$L$27:$L$29),Projections!M$7,Projections!M$10,0))^(M$1-1),0)</f>
        <v>1312087</v>
      </c>
      <c r="N73" s="45">
        <f>ROUND('Total Savings'!$B$22*(1+CHOOSE(MATCH('Total Savings'!$D$22,Tables!$L$27:$L$29),Projections!N$7,Projections!N$10,0))^(N$1-1),0)</f>
        <v>1344889</v>
      </c>
      <c r="O73" s="45">
        <f>ROUND('Total Savings'!$B$22*(1+CHOOSE(MATCH('Total Savings'!$D$22,Tables!$L$27:$L$29),Projections!O$7,Projections!O$10,0))^(O$1-1),0)</f>
        <v>1378511</v>
      </c>
      <c r="P73" s="45">
        <f>ROUND('Total Savings'!$B$22*(1+CHOOSE(MATCH('Total Savings'!$D$22,Tables!$L$27:$L$29),Projections!P$7,Projections!P$10,0))^(P$1-1),0)</f>
        <v>1412974</v>
      </c>
      <c r="Q73" s="45">
        <f>ROUND('Total Savings'!$B$22*(1+CHOOSE(MATCH('Total Savings'!$D$22,Tables!$L$27:$L$29),Projections!Q$7,Projections!Q$10,0))^(Q$1-1),0)</f>
        <v>1448298</v>
      </c>
      <c r="R73" s="45">
        <f>ROUND('Total Savings'!$B$22*(1+CHOOSE(MATCH('Total Savings'!$D$22,Tables!$L$27:$L$29),Projections!R$7,Projections!R$10,0))^(R$1-1),0)</f>
        <v>1484506</v>
      </c>
      <c r="S73" s="45">
        <f>ROUND('Total Savings'!$B$22*(1+CHOOSE(MATCH('Total Savings'!$D$22,Tables!$L$27:$L$29),Projections!S$7,Projections!S$10,0))^(S$1-1),0)</f>
        <v>1521618</v>
      </c>
      <c r="T73" s="45">
        <f>ROUND('Total Savings'!$B$22*(1+CHOOSE(MATCH('Total Savings'!$D$22,Tables!$L$27:$L$29),Projections!T$7,Projections!T$10,0))^(T$1-1),0)</f>
        <v>1559659</v>
      </c>
      <c r="U73" s="45">
        <f>ROUND('Total Savings'!$B$22*(1+CHOOSE(MATCH('Total Savings'!$D$22,Tables!$L$27:$L$29),Projections!U$7,Projections!U$10,0))^(U$1-1),0)</f>
        <v>1598650</v>
      </c>
      <c r="V73" s="45">
        <f>ROUND('Total Savings'!$B$22*(1+CHOOSE(MATCH('Total Savings'!$D$22,Tables!$L$27:$L$29),Projections!V$7,Projections!V$10,0))^(V$1-1),0)</f>
        <v>1638616</v>
      </c>
      <c r="W73" s="45">
        <f>ROUND('Total Savings'!$B$22*(1+CHOOSE(MATCH('Total Savings'!$D$22,Tables!$L$27:$L$29),Projections!W$7,Projections!W$10,0))^(W$1-1),0)</f>
        <v>1679582</v>
      </c>
      <c r="X73" s="45">
        <f>ROUND('Total Savings'!$B$22*(1+CHOOSE(MATCH('Total Savings'!$D$22,Tables!$L$27:$L$29),Projections!X$7,Projections!X$10,0))^(X$1-1),0)</f>
        <v>1721571</v>
      </c>
      <c r="Y73" s="45">
        <f>ROUND('Total Savings'!$B$22*(1+CHOOSE(MATCH('Total Savings'!$D$22,Tables!$L$27:$L$29),Projections!Y$7,Projections!Y$10,0))^(Y$1-1),0)</f>
        <v>1764611</v>
      </c>
      <c r="Z73" s="45">
        <f>ROUND('Total Savings'!$B$22*(1+CHOOSE(MATCH('Total Savings'!$D$22,Tables!$L$27:$L$29),Projections!Z$7,Projections!Z$10,0))^(Z$1-1),0)</f>
        <v>1808726</v>
      </c>
      <c r="AA73" s="45">
        <f>ROUND('Total Savings'!$B$22*(1+CHOOSE(MATCH('Total Savings'!$D$22,Tables!$L$27:$L$29),Projections!AA$7,Projections!AA$10,0))^(AA$1-1),0)</f>
        <v>1853944</v>
      </c>
      <c r="AB73" s="45">
        <f>ROUND('Total Savings'!$B$22*(1+CHOOSE(MATCH('Total Savings'!$D$22,Tables!$L$27:$L$29),Projections!AB$7,Projections!AB$10,0))^(AB$1-1),0)</f>
        <v>1900293</v>
      </c>
      <c r="AC73" s="45">
        <f>ROUND('Total Savings'!$B$22*(1+CHOOSE(MATCH('Total Savings'!$D$22,Tables!$L$27:$L$29),Projections!AC$7,Projections!AC$10,0))^(AC$1-1),0)</f>
        <v>1947800</v>
      </c>
      <c r="AD73" s="45">
        <f>ROUND('Total Savings'!$B$22*(1+CHOOSE(MATCH('Total Savings'!$D$22,Tables!$L$27:$L$29),Projections!AD$7,Projections!AD$10,0))^(AD$1-1),0)</f>
        <v>1996495</v>
      </c>
      <c r="AE73" s="45">
        <f>ROUND('Total Savings'!$B$22*(1+CHOOSE(MATCH('Total Savings'!$D$22,Tables!$L$27:$L$29),Projections!AE$7,Projections!AE$10,0))^(AE$1-1),0)</f>
        <v>2046407</v>
      </c>
      <c r="AF73" s="45">
        <f>ROUND('Total Savings'!$B$22*(1+CHOOSE(MATCH('Total Savings'!$D$22,Tables!$L$27:$L$29),Projections!AF$7,Projections!AF$10,0))^(AF$1-1),0)</f>
        <v>2097568</v>
      </c>
      <c r="AG73" s="45">
        <f>ROUND('Total Savings'!$B$22*(1+CHOOSE(MATCH('Total Savings'!$D$22,Tables!$L$27:$L$29),Projections!AG$7,Projections!AG$10,0))^(AG$1-1),0)</f>
        <v>2150007</v>
      </c>
      <c r="AH73" s="45">
        <f>ROUND('Total Savings'!$B$22*(1+CHOOSE(MATCH('Total Savings'!$D$22,Tables!$L$27:$L$29),Projections!AH$7,Projections!AH$10,0))^(AH$1-1),0)</f>
        <v>2203757</v>
      </c>
      <c r="AI73" s="45">
        <f>ROUND('Total Savings'!$B$22*(1+CHOOSE(MATCH('Total Savings'!$D$22,Tables!$L$27:$L$29),Projections!AI$7,Projections!AI$10,0))^(AI$1-1),0)</f>
        <v>2258851</v>
      </c>
      <c r="AJ73" s="45">
        <f>ROUND('Total Savings'!$B$22*(1+CHOOSE(MATCH('Total Savings'!$D$22,Tables!$L$27:$L$29),Projections!AJ$7,Projections!AJ$10,0))^(AJ$1-1),0)</f>
        <v>2315322</v>
      </c>
    </row>
    <row r="74" spans="1:36" ht="24" customHeight="1" x14ac:dyDescent="0.2">
      <c r="A74" s="3"/>
      <c r="B74" s="2"/>
    </row>
    <row r="75" spans="1:36" ht="24" customHeight="1" x14ac:dyDescent="0.2">
      <c r="A75" s="22" t="s">
        <v>136</v>
      </c>
      <c r="B75" s="24">
        <f>SUM(B76:B80)</f>
        <v>0</v>
      </c>
      <c r="C75" s="24">
        <f>SUM(C76:C80)</f>
        <v>0</v>
      </c>
      <c r="D75" s="24">
        <f t="shared" ref="D75:AJ75" si="41">SUM(D76:D80)</f>
        <v>0</v>
      </c>
      <c r="E75" s="24">
        <f t="shared" si="41"/>
        <v>0</v>
      </c>
      <c r="F75" s="24">
        <f t="shared" si="41"/>
        <v>0</v>
      </c>
      <c r="G75" s="24">
        <f t="shared" si="41"/>
        <v>0</v>
      </c>
      <c r="H75" s="24">
        <f t="shared" si="41"/>
        <v>0</v>
      </c>
      <c r="I75" s="24">
        <f t="shared" si="41"/>
        <v>0</v>
      </c>
      <c r="J75" s="24">
        <f t="shared" si="41"/>
        <v>0</v>
      </c>
      <c r="K75" s="24">
        <f t="shared" si="41"/>
        <v>0</v>
      </c>
      <c r="L75" s="24">
        <f t="shared" si="41"/>
        <v>0</v>
      </c>
      <c r="M75" s="24">
        <f t="shared" si="41"/>
        <v>0</v>
      </c>
      <c r="N75" s="24">
        <f t="shared" si="41"/>
        <v>0</v>
      </c>
      <c r="O75" s="24">
        <f t="shared" si="41"/>
        <v>0</v>
      </c>
      <c r="P75" s="24">
        <f t="shared" si="41"/>
        <v>0</v>
      </c>
      <c r="Q75" s="24">
        <f t="shared" si="41"/>
        <v>0</v>
      </c>
      <c r="R75" s="24">
        <f t="shared" si="41"/>
        <v>0</v>
      </c>
      <c r="S75" s="24">
        <f t="shared" si="41"/>
        <v>0</v>
      </c>
      <c r="T75" s="24">
        <f t="shared" si="41"/>
        <v>0</v>
      </c>
      <c r="U75" s="24">
        <f t="shared" si="41"/>
        <v>0</v>
      </c>
      <c r="V75" s="24">
        <f t="shared" si="41"/>
        <v>0</v>
      </c>
      <c r="W75" s="24">
        <f t="shared" si="41"/>
        <v>0</v>
      </c>
      <c r="X75" s="24">
        <f t="shared" si="41"/>
        <v>0</v>
      </c>
      <c r="Y75" s="24">
        <f t="shared" si="41"/>
        <v>0</v>
      </c>
      <c r="Z75" s="24">
        <f t="shared" si="41"/>
        <v>0</v>
      </c>
      <c r="AA75" s="24">
        <f t="shared" si="41"/>
        <v>0</v>
      </c>
      <c r="AB75" s="24">
        <f t="shared" si="41"/>
        <v>0</v>
      </c>
      <c r="AC75" s="24">
        <f t="shared" si="41"/>
        <v>0</v>
      </c>
      <c r="AD75" s="24">
        <f t="shared" si="41"/>
        <v>0</v>
      </c>
      <c r="AE75" s="24">
        <f t="shared" si="41"/>
        <v>0</v>
      </c>
      <c r="AF75" s="24">
        <f t="shared" si="41"/>
        <v>0</v>
      </c>
      <c r="AG75" s="24">
        <f t="shared" si="41"/>
        <v>0</v>
      </c>
      <c r="AH75" s="24">
        <f t="shared" si="41"/>
        <v>0</v>
      </c>
      <c r="AI75" s="24">
        <f t="shared" si="41"/>
        <v>0</v>
      </c>
      <c r="AJ75" s="24">
        <f t="shared" si="41"/>
        <v>0</v>
      </c>
    </row>
    <row r="76" spans="1:36" ht="24" customHeight="1" x14ac:dyDescent="0.2">
      <c r="A76" s="1" t="str">
        <f>IF('Debt Payments'!$A4&lt;&gt;"",'Debt Payments'!$A4,"")</f>
        <v>Mortgage</v>
      </c>
      <c r="B76" s="2">
        <f>'Debt Payments'!B4*12</f>
        <v>0</v>
      </c>
      <c r="C76" s="2">
        <f>MIN(B76,C83)</f>
        <v>0</v>
      </c>
      <c r="D76" s="2">
        <f t="shared" ref="D76:AJ80" si="42">MIN(C76,D83)</f>
        <v>0</v>
      </c>
      <c r="E76" s="2">
        <f t="shared" si="42"/>
        <v>0</v>
      </c>
      <c r="F76" s="2">
        <f t="shared" si="42"/>
        <v>0</v>
      </c>
      <c r="G76" s="2">
        <f t="shared" si="42"/>
        <v>0</v>
      </c>
      <c r="H76" s="2">
        <f t="shared" si="42"/>
        <v>0</v>
      </c>
      <c r="I76" s="2">
        <f t="shared" si="42"/>
        <v>0</v>
      </c>
      <c r="J76" s="2">
        <f t="shared" si="42"/>
        <v>0</v>
      </c>
      <c r="K76" s="2">
        <f t="shared" si="42"/>
        <v>0</v>
      </c>
      <c r="L76" s="2">
        <f t="shared" si="42"/>
        <v>0</v>
      </c>
      <c r="M76" s="2">
        <f t="shared" si="42"/>
        <v>0</v>
      </c>
      <c r="N76" s="2">
        <f t="shared" si="42"/>
        <v>0</v>
      </c>
      <c r="O76" s="2">
        <f t="shared" si="42"/>
        <v>0</v>
      </c>
      <c r="P76" s="2">
        <f t="shared" si="42"/>
        <v>0</v>
      </c>
      <c r="Q76" s="2">
        <f t="shared" si="42"/>
        <v>0</v>
      </c>
      <c r="R76" s="2">
        <f t="shared" si="42"/>
        <v>0</v>
      </c>
      <c r="S76" s="2">
        <f t="shared" si="42"/>
        <v>0</v>
      </c>
      <c r="T76" s="2">
        <f t="shared" si="42"/>
        <v>0</v>
      </c>
      <c r="U76" s="2">
        <f t="shared" si="42"/>
        <v>0</v>
      </c>
      <c r="V76" s="2">
        <f t="shared" si="42"/>
        <v>0</v>
      </c>
      <c r="W76" s="2">
        <f t="shared" si="42"/>
        <v>0</v>
      </c>
      <c r="X76" s="2">
        <f t="shared" si="42"/>
        <v>0</v>
      </c>
      <c r="Y76" s="2">
        <f t="shared" si="42"/>
        <v>0</v>
      </c>
      <c r="Z76" s="2">
        <f t="shared" si="42"/>
        <v>0</v>
      </c>
      <c r="AA76" s="2">
        <f t="shared" si="42"/>
        <v>0</v>
      </c>
      <c r="AB76" s="2">
        <f t="shared" si="42"/>
        <v>0</v>
      </c>
      <c r="AC76" s="2">
        <f t="shared" si="42"/>
        <v>0</v>
      </c>
      <c r="AD76" s="2">
        <f t="shared" si="42"/>
        <v>0</v>
      </c>
      <c r="AE76" s="2">
        <f t="shared" si="42"/>
        <v>0</v>
      </c>
      <c r="AF76" s="2">
        <f t="shared" si="42"/>
        <v>0</v>
      </c>
      <c r="AG76" s="2">
        <f t="shared" si="42"/>
        <v>0</v>
      </c>
      <c r="AH76" s="2">
        <f t="shared" si="42"/>
        <v>0</v>
      </c>
      <c r="AI76" s="2">
        <f t="shared" si="42"/>
        <v>0</v>
      </c>
      <c r="AJ76" s="2">
        <f t="shared" si="42"/>
        <v>0</v>
      </c>
    </row>
    <row r="77" spans="1:36" ht="24" customHeight="1" x14ac:dyDescent="0.2">
      <c r="A77" s="1" t="str">
        <f>IF('Debt Payments'!$A5&lt;&gt;"",'Debt Payments'!$A5,"")</f>
        <v>Auto loan(s)</v>
      </c>
      <c r="B77" s="2">
        <f>'Debt Payments'!B5*12</f>
        <v>0</v>
      </c>
      <c r="C77" s="2">
        <f t="shared" ref="C77:R80" si="43">MIN(B77,C84)</f>
        <v>0</v>
      </c>
      <c r="D77" s="2">
        <f t="shared" si="43"/>
        <v>0</v>
      </c>
      <c r="E77" s="2">
        <f t="shared" si="43"/>
        <v>0</v>
      </c>
      <c r="F77" s="2">
        <f t="shared" si="43"/>
        <v>0</v>
      </c>
      <c r="G77" s="2">
        <f t="shared" si="43"/>
        <v>0</v>
      </c>
      <c r="H77" s="2">
        <f t="shared" si="43"/>
        <v>0</v>
      </c>
      <c r="I77" s="2">
        <f t="shared" si="43"/>
        <v>0</v>
      </c>
      <c r="J77" s="2">
        <f t="shared" si="43"/>
        <v>0</v>
      </c>
      <c r="K77" s="2">
        <f t="shared" si="43"/>
        <v>0</v>
      </c>
      <c r="L77" s="2">
        <f t="shared" si="43"/>
        <v>0</v>
      </c>
      <c r="M77" s="2">
        <f t="shared" si="43"/>
        <v>0</v>
      </c>
      <c r="N77" s="2">
        <f t="shared" si="43"/>
        <v>0</v>
      </c>
      <c r="O77" s="2">
        <f t="shared" si="43"/>
        <v>0</v>
      </c>
      <c r="P77" s="2">
        <f t="shared" si="43"/>
        <v>0</v>
      </c>
      <c r="Q77" s="2">
        <f t="shared" si="43"/>
        <v>0</v>
      </c>
      <c r="R77" s="2">
        <f t="shared" si="43"/>
        <v>0</v>
      </c>
      <c r="S77" s="2">
        <f t="shared" si="42"/>
        <v>0</v>
      </c>
      <c r="T77" s="2">
        <f t="shared" si="42"/>
        <v>0</v>
      </c>
      <c r="U77" s="2">
        <f t="shared" si="42"/>
        <v>0</v>
      </c>
      <c r="V77" s="2">
        <f t="shared" si="42"/>
        <v>0</v>
      </c>
      <c r="W77" s="2">
        <f t="shared" si="42"/>
        <v>0</v>
      </c>
      <c r="X77" s="2">
        <f t="shared" si="42"/>
        <v>0</v>
      </c>
      <c r="Y77" s="2">
        <f t="shared" si="42"/>
        <v>0</v>
      </c>
      <c r="Z77" s="2">
        <f t="shared" si="42"/>
        <v>0</v>
      </c>
      <c r="AA77" s="2">
        <f t="shared" si="42"/>
        <v>0</v>
      </c>
      <c r="AB77" s="2">
        <f t="shared" si="42"/>
        <v>0</v>
      </c>
      <c r="AC77" s="2">
        <f t="shared" si="42"/>
        <v>0</v>
      </c>
      <c r="AD77" s="2">
        <f t="shared" si="42"/>
        <v>0</v>
      </c>
      <c r="AE77" s="2">
        <f t="shared" si="42"/>
        <v>0</v>
      </c>
      <c r="AF77" s="2">
        <f t="shared" si="42"/>
        <v>0</v>
      </c>
      <c r="AG77" s="2">
        <f t="shared" si="42"/>
        <v>0</v>
      </c>
      <c r="AH77" s="2">
        <f t="shared" si="42"/>
        <v>0</v>
      </c>
      <c r="AI77" s="2">
        <f t="shared" si="42"/>
        <v>0</v>
      </c>
      <c r="AJ77" s="2">
        <f t="shared" si="42"/>
        <v>0</v>
      </c>
    </row>
    <row r="78" spans="1:36" ht="24" customHeight="1" x14ac:dyDescent="0.2">
      <c r="A78" s="1" t="str">
        <f>IF('Debt Payments'!$A6&lt;&gt;"",'Debt Payments'!$A6,"")</f>
        <v>Credit card(s)</v>
      </c>
      <c r="B78" s="2">
        <f>'Debt Payments'!B6*12</f>
        <v>0</v>
      </c>
      <c r="C78" s="2">
        <f t="shared" si="43"/>
        <v>0</v>
      </c>
      <c r="D78" s="2">
        <f t="shared" si="42"/>
        <v>0</v>
      </c>
      <c r="E78" s="2">
        <f t="shared" si="42"/>
        <v>0</v>
      </c>
      <c r="F78" s="2">
        <f t="shared" si="42"/>
        <v>0</v>
      </c>
      <c r="G78" s="2">
        <f t="shared" si="42"/>
        <v>0</v>
      </c>
      <c r="H78" s="2">
        <f t="shared" si="42"/>
        <v>0</v>
      </c>
      <c r="I78" s="2">
        <f t="shared" si="42"/>
        <v>0</v>
      </c>
      <c r="J78" s="2">
        <f t="shared" si="42"/>
        <v>0</v>
      </c>
      <c r="K78" s="2">
        <f t="shared" si="42"/>
        <v>0</v>
      </c>
      <c r="L78" s="2">
        <f t="shared" si="42"/>
        <v>0</v>
      </c>
      <c r="M78" s="2">
        <f t="shared" si="42"/>
        <v>0</v>
      </c>
      <c r="N78" s="2">
        <f t="shared" si="42"/>
        <v>0</v>
      </c>
      <c r="O78" s="2">
        <f t="shared" si="42"/>
        <v>0</v>
      </c>
      <c r="P78" s="2">
        <f t="shared" si="42"/>
        <v>0</v>
      </c>
      <c r="Q78" s="2">
        <f t="shared" si="42"/>
        <v>0</v>
      </c>
      <c r="R78" s="2">
        <f t="shared" si="42"/>
        <v>0</v>
      </c>
      <c r="S78" s="2">
        <f t="shared" si="42"/>
        <v>0</v>
      </c>
      <c r="T78" s="2">
        <f t="shared" si="42"/>
        <v>0</v>
      </c>
      <c r="U78" s="2">
        <f t="shared" si="42"/>
        <v>0</v>
      </c>
      <c r="V78" s="2">
        <f t="shared" si="42"/>
        <v>0</v>
      </c>
      <c r="W78" s="2">
        <f t="shared" si="42"/>
        <v>0</v>
      </c>
      <c r="X78" s="2">
        <f t="shared" si="42"/>
        <v>0</v>
      </c>
      <c r="Y78" s="2">
        <f t="shared" si="42"/>
        <v>0</v>
      </c>
      <c r="Z78" s="2">
        <f t="shared" si="42"/>
        <v>0</v>
      </c>
      <c r="AA78" s="2">
        <f t="shared" si="42"/>
        <v>0</v>
      </c>
      <c r="AB78" s="2">
        <f t="shared" si="42"/>
        <v>0</v>
      </c>
      <c r="AC78" s="2">
        <f t="shared" si="42"/>
        <v>0</v>
      </c>
      <c r="AD78" s="2">
        <f t="shared" si="42"/>
        <v>0</v>
      </c>
      <c r="AE78" s="2">
        <f t="shared" si="42"/>
        <v>0</v>
      </c>
      <c r="AF78" s="2">
        <f t="shared" si="42"/>
        <v>0</v>
      </c>
      <c r="AG78" s="2">
        <f t="shared" si="42"/>
        <v>0</v>
      </c>
      <c r="AH78" s="2">
        <f t="shared" si="42"/>
        <v>0</v>
      </c>
      <c r="AI78" s="2">
        <f t="shared" si="42"/>
        <v>0</v>
      </c>
      <c r="AJ78" s="2">
        <f t="shared" si="42"/>
        <v>0</v>
      </c>
    </row>
    <row r="79" spans="1:36" ht="24" customHeight="1" x14ac:dyDescent="0.2">
      <c r="A79" s="1" t="str">
        <f>IF('Debt Payments'!$A7&lt;&gt;"",'Debt Payments'!$A7,"")</f>
        <v>…</v>
      </c>
      <c r="B79" s="2">
        <f>'Debt Payments'!B7*12</f>
        <v>0</v>
      </c>
      <c r="C79" s="2">
        <f t="shared" si="43"/>
        <v>0</v>
      </c>
      <c r="D79" s="2">
        <f t="shared" si="42"/>
        <v>0</v>
      </c>
      <c r="E79" s="2">
        <f t="shared" si="42"/>
        <v>0</v>
      </c>
      <c r="F79" s="2">
        <f t="shared" si="42"/>
        <v>0</v>
      </c>
      <c r="G79" s="2">
        <f t="shared" si="42"/>
        <v>0</v>
      </c>
      <c r="H79" s="2">
        <f t="shared" si="42"/>
        <v>0</v>
      </c>
      <c r="I79" s="2">
        <f t="shared" si="42"/>
        <v>0</v>
      </c>
      <c r="J79" s="2">
        <f t="shared" si="42"/>
        <v>0</v>
      </c>
      <c r="K79" s="2">
        <f t="shared" si="42"/>
        <v>0</v>
      </c>
      <c r="L79" s="2">
        <f t="shared" si="42"/>
        <v>0</v>
      </c>
      <c r="M79" s="2">
        <f t="shared" si="42"/>
        <v>0</v>
      </c>
      <c r="N79" s="2">
        <f t="shared" si="42"/>
        <v>0</v>
      </c>
      <c r="O79" s="2">
        <f t="shared" si="42"/>
        <v>0</v>
      </c>
      <c r="P79" s="2">
        <f t="shared" si="42"/>
        <v>0</v>
      </c>
      <c r="Q79" s="2">
        <f t="shared" si="42"/>
        <v>0</v>
      </c>
      <c r="R79" s="2">
        <f t="shared" si="42"/>
        <v>0</v>
      </c>
      <c r="S79" s="2">
        <f t="shared" si="42"/>
        <v>0</v>
      </c>
      <c r="T79" s="2">
        <f t="shared" si="42"/>
        <v>0</v>
      </c>
      <c r="U79" s="2">
        <f t="shared" si="42"/>
        <v>0</v>
      </c>
      <c r="V79" s="2">
        <f t="shared" si="42"/>
        <v>0</v>
      </c>
      <c r="W79" s="2">
        <f t="shared" si="42"/>
        <v>0</v>
      </c>
      <c r="X79" s="2">
        <f t="shared" si="42"/>
        <v>0</v>
      </c>
      <c r="Y79" s="2">
        <f t="shared" si="42"/>
        <v>0</v>
      </c>
      <c r="Z79" s="2">
        <f t="shared" si="42"/>
        <v>0</v>
      </c>
      <c r="AA79" s="2">
        <f t="shared" si="42"/>
        <v>0</v>
      </c>
      <c r="AB79" s="2">
        <f t="shared" si="42"/>
        <v>0</v>
      </c>
      <c r="AC79" s="2">
        <f t="shared" si="42"/>
        <v>0</v>
      </c>
      <c r="AD79" s="2">
        <f t="shared" si="42"/>
        <v>0</v>
      </c>
      <c r="AE79" s="2">
        <f t="shared" si="42"/>
        <v>0</v>
      </c>
      <c r="AF79" s="2">
        <f t="shared" si="42"/>
        <v>0</v>
      </c>
      <c r="AG79" s="2">
        <f t="shared" si="42"/>
        <v>0</v>
      </c>
      <c r="AH79" s="2">
        <f t="shared" si="42"/>
        <v>0</v>
      </c>
      <c r="AI79" s="2">
        <f t="shared" si="42"/>
        <v>0</v>
      </c>
      <c r="AJ79" s="2">
        <f t="shared" si="42"/>
        <v>0</v>
      </c>
    </row>
    <row r="80" spans="1:36" ht="24" customHeight="1" x14ac:dyDescent="0.2">
      <c r="A80" s="1" t="str">
        <f>IF('Debt Payments'!$A8&lt;&gt;"",'Debt Payments'!$A8,"")</f>
        <v/>
      </c>
      <c r="B80" s="2">
        <f>'Debt Payments'!B8*12</f>
        <v>0</v>
      </c>
      <c r="C80" s="2">
        <f t="shared" si="43"/>
        <v>0</v>
      </c>
      <c r="D80" s="2">
        <f t="shared" si="42"/>
        <v>0</v>
      </c>
      <c r="E80" s="2">
        <f t="shared" si="42"/>
        <v>0</v>
      </c>
      <c r="F80" s="2">
        <f t="shared" si="42"/>
        <v>0</v>
      </c>
      <c r="G80" s="2">
        <f t="shared" si="42"/>
        <v>0</v>
      </c>
      <c r="H80" s="2">
        <f t="shared" si="42"/>
        <v>0</v>
      </c>
      <c r="I80" s="2">
        <f t="shared" si="42"/>
        <v>0</v>
      </c>
      <c r="J80" s="2">
        <f t="shared" si="42"/>
        <v>0</v>
      </c>
      <c r="K80" s="2">
        <f t="shared" si="42"/>
        <v>0</v>
      </c>
      <c r="L80" s="2">
        <f t="shared" si="42"/>
        <v>0</v>
      </c>
      <c r="M80" s="2">
        <f t="shared" si="42"/>
        <v>0</v>
      </c>
      <c r="N80" s="2">
        <f t="shared" si="42"/>
        <v>0</v>
      </c>
      <c r="O80" s="2">
        <f t="shared" si="42"/>
        <v>0</v>
      </c>
      <c r="P80" s="2">
        <f t="shared" si="42"/>
        <v>0</v>
      </c>
      <c r="Q80" s="2">
        <f t="shared" si="42"/>
        <v>0</v>
      </c>
      <c r="R80" s="2">
        <f t="shared" si="42"/>
        <v>0</v>
      </c>
      <c r="S80" s="2">
        <f t="shared" si="42"/>
        <v>0</v>
      </c>
      <c r="T80" s="2">
        <f t="shared" si="42"/>
        <v>0</v>
      </c>
      <c r="U80" s="2">
        <f t="shared" si="42"/>
        <v>0</v>
      </c>
      <c r="V80" s="2">
        <f t="shared" si="42"/>
        <v>0</v>
      </c>
      <c r="W80" s="2">
        <f t="shared" si="42"/>
        <v>0</v>
      </c>
      <c r="X80" s="2">
        <f t="shared" si="42"/>
        <v>0</v>
      </c>
      <c r="Y80" s="2">
        <f t="shared" si="42"/>
        <v>0</v>
      </c>
      <c r="Z80" s="2">
        <f t="shared" si="42"/>
        <v>0</v>
      </c>
      <c r="AA80" s="2">
        <f t="shared" si="42"/>
        <v>0</v>
      </c>
      <c r="AB80" s="2">
        <f t="shared" si="42"/>
        <v>0</v>
      </c>
      <c r="AC80" s="2">
        <f t="shared" si="42"/>
        <v>0</v>
      </c>
      <c r="AD80" s="2">
        <f t="shared" si="42"/>
        <v>0</v>
      </c>
      <c r="AE80" s="2">
        <f t="shared" si="42"/>
        <v>0</v>
      </c>
      <c r="AF80" s="2">
        <f t="shared" si="42"/>
        <v>0</v>
      </c>
      <c r="AG80" s="2">
        <f t="shared" si="42"/>
        <v>0</v>
      </c>
      <c r="AH80" s="2">
        <f t="shared" si="42"/>
        <v>0</v>
      </c>
      <c r="AI80" s="2">
        <f t="shared" si="42"/>
        <v>0</v>
      </c>
      <c r="AJ80" s="2">
        <f t="shared" si="42"/>
        <v>0</v>
      </c>
    </row>
    <row r="81" spans="1:36" ht="24" customHeight="1" x14ac:dyDescent="0.2">
      <c r="A81" s="1"/>
      <c r="B81" s="2"/>
    </row>
    <row r="82" spans="1:36" ht="24" customHeight="1" x14ac:dyDescent="0.2">
      <c r="A82" s="22" t="s">
        <v>151</v>
      </c>
      <c r="B82" s="24">
        <f>SUM(B83:B87)</f>
        <v>0</v>
      </c>
      <c r="C82" s="24">
        <f>SUM(C83:C87)</f>
        <v>0</v>
      </c>
      <c r="D82" s="24">
        <f t="shared" ref="D82:AJ82" si="44">SUM(D83:D87)</f>
        <v>0</v>
      </c>
      <c r="E82" s="24">
        <f t="shared" si="44"/>
        <v>0</v>
      </c>
      <c r="F82" s="24">
        <f t="shared" si="44"/>
        <v>0</v>
      </c>
      <c r="G82" s="24">
        <f t="shared" si="44"/>
        <v>0</v>
      </c>
      <c r="H82" s="24">
        <f t="shared" si="44"/>
        <v>0</v>
      </c>
      <c r="I82" s="24">
        <f t="shared" si="44"/>
        <v>0</v>
      </c>
      <c r="J82" s="24">
        <f t="shared" si="44"/>
        <v>0</v>
      </c>
      <c r="K82" s="24">
        <f t="shared" si="44"/>
        <v>0</v>
      </c>
      <c r="L82" s="24">
        <f t="shared" si="44"/>
        <v>0</v>
      </c>
      <c r="M82" s="24">
        <f t="shared" si="44"/>
        <v>0</v>
      </c>
      <c r="N82" s="24">
        <f t="shared" si="44"/>
        <v>0</v>
      </c>
      <c r="O82" s="24">
        <f t="shared" si="44"/>
        <v>0</v>
      </c>
      <c r="P82" s="24">
        <f t="shared" si="44"/>
        <v>0</v>
      </c>
      <c r="Q82" s="24">
        <f t="shared" si="44"/>
        <v>0</v>
      </c>
      <c r="R82" s="24">
        <f t="shared" si="44"/>
        <v>0</v>
      </c>
      <c r="S82" s="24">
        <f t="shared" si="44"/>
        <v>0</v>
      </c>
      <c r="T82" s="24">
        <f t="shared" si="44"/>
        <v>0</v>
      </c>
      <c r="U82" s="24">
        <f t="shared" si="44"/>
        <v>0</v>
      </c>
      <c r="V82" s="24">
        <f t="shared" si="44"/>
        <v>0</v>
      </c>
      <c r="W82" s="24">
        <f t="shared" si="44"/>
        <v>0</v>
      </c>
      <c r="X82" s="24">
        <f t="shared" si="44"/>
        <v>0</v>
      </c>
      <c r="Y82" s="24">
        <f t="shared" si="44"/>
        <v>0</v>
      </c>
      <c r="Z82" s="24">
        <f t="shared" si="44"/>
        <v>0</v>
      </c>
      <c r="AA82" s="24">
        <f t="shared" si="44"/>
        <v>0</v>
      </c>
      <c r="AB82" s="24">
        <f t="shared" si="44"/>
        <v>0</v>
      </c>
      <c r="AC82" s="24">
        <f t="shared" si="44"/>
        <v>0</v>
      </c>
      <c r="AD82" s="24">
        <f t="shared" si="44"/>
        <v>0</v>
      </c>
      <c r="AE82" s="24">
        <f t="shared" si="44"/>
        <v>0</v>
      </c>
      <c r="AF82" s="24">
        <f t="shared" si="44"/>
        <v>0</v>
      </c>
      <c r="AG82" s="24">
        <f t="shared" si="44"/>
        <v>0</v>
      </c>
      <c r="AH82" s="24">
        <f t="shared" si="44"/>
        <v>0</v>
      </c>
      <c r="AI82" s="24">
        <f t="shared" si="44"/>
        <v>0</v>
      </c>
      <c r="AJ82" s="24">
        <f t="shared" si="44"/>
        <v>0</v>
      </c>
    </row>
    <row r="83" spans="1:36" ht="24" customHeight="1" x14ac:dyDescent="0.2">
      <c r="A83" s="1" t="str">
        <f>IF('Debt Payments'!$A4&lt;&gt;"",'Debt Payments'!$A4,"")</f>
        <v>Mortgage</v>
      </c>
      <c r="B83" s="2">
        <f>'Debt Payments'!D4</f>
        <v>0</v>
      </c>
      <c r="C83" s="2">
        <f>MAX(0,B83*(1+'Debt Payments'!$C4)-B76)</f>
        <v>0</v>
      </c>
      <c r="D83" s="2">
        <f>MAX(0,C83*(1+'Debt Payments'!$C4)-C76)</f>
        <v>0</v>
      </c>
      <c r="E83" s="2">
        <f>MAX(0,D83*(1+'Debt Payments'!$C4)-D76)</f>
        <v>0</v>
      </c>
      <c r="F83" s="2">
        <f>MAX(0,E83*(1+'Debt Payments'!$C4)-E76)</f>
        <v>0</v>
      </c>
      <c r="G83" s="2">
        <f>MAX(0,F83*(1+'Debt Payments'!$C4)-F76)</f>
        <v>0</v>
      </c>
      <c r="H83" s="2">
        <f>MAX(0,G83*(1+'Debt Payments'!$C4)-G76)</f>
        <v>0</v>
      </c>
      <c r="I83" s="2">
        <f>MAX(0,H83*(1+'Debt Payments'!$C4)-H76)</f>
        <v>0</v>
      </c>
      <c r="J83" s="2">
        <f>MAX(0,I83*(1+'Debt Payments'!$C4)-I76)</f>
        <v>0</v>
      </c>
      <c r="K83" s="2">
        <f>MAX(0,J83*(1+'Debt Payments'!$C4)-J76)</f>
        <v>0</v>
      </c>
      <c r="L83" s="2">
        <f>MAX(0,K83*(1+'Debt Payments'!$C4)-K76)</f>
        <v>0</v>
      </c>
      <c r="M83" s="2">
        <f>MAX(0,L83*(1+'Debt Payments'!$C4)-L76)</f>
        <v>0</v>
      </c>
      <c r="N83" s="2">
        <f>MAX(0,M83*(1+'Debt Payments'!$C4)-M76)</f>
        <v>0</v>
      </c>
      <c r="O83" s="2">
        <f>MAX(0,N83*(1+'Debt Payments'!$C4)-N76)</f>
        <v>0</v>
      </c>
      <c r="P83" s="2">
        <f>MAX(0,O83*(1+'Debt Payments'!$C4)-O76)</f>
        <v>0</v>
      </c>
      <c r="Q83" s="2">
        <f>MAX(0,P83*(1+'Debt Payments'!$C4)-P76)</f>
        <v>0</v>
      </c>
      <c r="R83" s="2">
        <f>MAX(0,Q83*(1+'Debt Payments'!$C4)-Q76)</f>
        <v>0</v>
      </c>
      <c r="S83" s="2">
        <f>MAX(0,R83*(1+'Debt Payments'!$C4)-R76)</f>
        <v>0</v>
      </c>
      <c r="T83" s="2">
        <f>MAX(0,S83*(1+'Debt Payments'!$C4)-S76)</f>
        <v>0</v>
      </c>
      <c r="U83" s="2">
        <f>MAX(0,T83*(1+'Debt Payments'!$C4)-T76)</f>
        <v>0</v>
      </c>
      <c r="V83" s="2">
        <f>MAX(0,U83*(1+'Debt Payments'!$C4)-U76)</f>
        <v>0</v>
      </c>
      <c r="W83" s="2">
        <f>MAX(0,V83*(1+'Debt Payments'!$C4)-V76)</f>
        <v>0</v>
      </c>
      <c r="X83" s="2">
        <f>MAX(0,W83*(1+'Debt Payments'!$C4)-W76)</f>
        <v>0</v>
      </c>
      <c r="Y83" s="2">
        <f>MAX(0,X83*(1+'Debt Payments'!$C4)-X76)</f>
        <v>0</v>
      </c>
      <c r="Z83" s="2">
        <f>MAX(0,Y83*(1+'Debt Payments'!$C4)-Y76)</f>
        <v>0</v>
      </c>
      <c r="AA83" s="2">
        <f>MAX(0,Z83*(1+'Debt Payments'!$C4)-Z76)</f>
        <v>0</v>
      </c>
      <c r="AB83" s="2">
        <f>MAX(0,AA83*(1+'Debt Payments'!$C4)-AA76)</f>
        <v>0</v>
      </c>
      <c r="AC83" s="2">
        <f>MAX(0,AB83*(1+'Debt Payments'!$C4)-AB76)</f>
        <v>0</v>
      </c>
      <c r="AD83" s="2">
        <f>MAX(0,AC83*(1+'Debt Payments'!$C4)-AC76)</f>
        <v>0</v>
      </c>
      <c r="AE83" s="2">
        <f>MAX(0,AD83*(1+'Debt Payments'!$C4)-AD76)</f>
        <v>0</v>
      </c>
      <c r="AF83" s="2">
        <f>MAX(0,AE83*(1+'Debt Payments'!$C4)-AE76)</f>
        <v>0</v>
      </c>
      <c r="AG83" s="2">
        <f>MAX(0,AF83*(1+'Debt Payments'!$C4)-AF76)</f>
        <v>0</v>
      </c>
      <c r="AH83" s="2">
        <f>MAX(0,AG83*(1+'Debt Payments'!$C4)-AG76)</f>
        <v>0</v>
      </c>
      <c r="AI83" s="2">
        <f>MAX(0,AH83*(1+'Debt Payments'!$C4)-AH76)</f>
        <v>0</v>
      </c>
      <c r="AJ83" s="2">
        <f>MAX(0,AI83*(1+'Debt Payments'!$C4)-AI76)</f>
        <v>0</v>
      </c>
    </row>
    <row r="84" spans="1:36" ht="24" customHeight="1" x14ac:dyDescent="0.2">
      <c r="A84" s="1" t="str">
        <f>IF('Debt Payments'!$A5&lt;&gt;"",'Debt Payments'!$A5,"")</f>
        <v>Auto loan(s)</v>
      </c>
      <c r="B84" s="2">
        <f>'Debt Payments'!D5</f>
        <v>0</v>
      </c>
      <c r="C84" s="2">
        <f>MAX(0,B84*(1+'Debt Payments'!$C5)-B77)</f>
        <v>0</v>
      </c>
      <c r="D84" s="2">
        <f>MAX(0,C84*(1+'Debt Payments'!$C5)-C77)</f>
        <v>0</v>
      </c>
      <c r="E84" s="2">
        <f>MAX(0,D84*(1+'Debt Payments'!$C5)-D77)</f>
        <v>0</v>
      </c>
      <c r="F84" s="2">
        <f>MAX(0,E84*(1+'Debt Payments'!$C5)-E77)</f>
        <v>0</v>
      </c>
      <c r="G84" s="2">
        <f>MAX(0,F84*(1+'Debt Payments'!$C5)-F77)</f>
        <v>0</v>
      </c>
      <c r="H84" s="2">
        <f>MAX(0,G84*(1+'Debt Payments'!$C5)-G77)</f>
        <v>0</v>
      </c>
      <c r="I84" s="2">
        <f>MAX(0,H84*(1+'Debt Payments'!$C5)-H77)</f>
        <v>0</v>
      </c>
      <c r="J84" s="2">
        <f>MAX(0,I84*(1+'Debt Payments'!$C5)-I77)</f>
        <v>0</v>
      </c>
      <c r="K84" s="2">
        <f>MAX(0,J84*(1+'Debt Payments'!$C5)-J77)</f>
        <v>0</v>
      </c>
      <c r="L84" s="2">
        <f>MAX(0,K84*(1+'Debt Payments'!$C5)-K77)</f>
        <v>0</v>
      </c>
      <c r="M84" s="2">
        <f>MAX(0,L84*(1+'Debt Payments'!$C5)-L77)</f>
        <v>0</v>
      </c>
      <c r="N84" s="2">
        <f>MAX(0,M84*(1+'Debt Payments'!$C5)-M77)</f>
        <v>0</v>
      </c>
      <c r="O84" s="2">
        <f>MAX(0,N84*(1+'Debt Payments'!$C5)-N77)</f>
        <v>0</v>
      </c>
      <c r="P84" s="2">
        <f>MAX(0,O84*(1+'Debt Payments'!$C5)-O77)</f>
        <v>0</v>
      </c>
      <c r="Q84" s="2">
        <f>MAX(0,P84*(1+'Debt Payments'!$C5)-P77)</f>
        <v>0</v>
      </c>
      <c r="R84" s="2">
        <f>MAX(0,Q84*(1+'Debt Payments'!$C5)-Q77)</f>
        <v>0</v>
      </c>
      <c r="S84" s="2">
        <f>MAX(0,R84*(1+'Debt Payments'!$C5)-R77)</f>
        <v>0</v>
      </c>
      <c r="T84" s="2">
        <f>MAX(0,S84*(1+'Debt Payments'!$C5)-S77)</f>
        <v>0</v>
      </c>
      <c r="U84" s="2">
        <f>MAX(0,T84*(1+'Debt Payments'!$C5)-T77)</f>
        <v>0</v>
      </c>
      <c r="V84" s="2">
        <f>MAX(0,U84*(1+'Debt Payments'!$C5)-U77)</f>
        <v>0</v>
      </c>
      <c r="W84" s="2">
        <f>MAX(0,V84*(1+'Debt Payments'!$C5)-V77)</f>
        <v>0</v>
      </c>
      <c r="X84" s="2">
        <f>MAX(0,W84*(1+'Debt Payments'!$C5)-W77)</f>
        <v>0</v>
      </c>
      <c r="Y84" s="2">
        <f>MAX(0,X84*(1+'Debt Payments'!$C5)-X77)</f>
        <v>0</v>
      </c>
      <c r="Z84" s="2">
        <f>MAX(0,Y84*(1+'Debt Payments'!$C5)-Y77)</f>
        <v>0</v>
      </c>
      <c r="AA84" s="2">
        <f>MAX(0,Z84*(1+'Debt Payments'!$C5)-Z77)</f>
        <v>0</v>
      </c>
      <c r="AB84" s="2">
        <f>MAX(0,AA84*(1+'Debt Payments'!$C5)-AA77)</f>
        <v>0</v>
      </c>
      <c r="AC84" s="2">
        <f>MAX(0,AB84*(1+'Debt Payments'!$C5)-AB77)</f>
        <v>0</v>
      </c>
      <c r="AD84" s="2">
        <f>MAX(0,AC84*(1+'Debt Payments'!$C5)-AC77)</f>
        <v>0</v>
      </c>
      <c r="AE84" s="2">
        <f>MAX(0,AD84*(1+'Debt Payments'!$C5)-AD77)</f>
        <v>0</v>
      </c>
      <c r="AF84" s="2">
        <f>MAX(0,AE84*(1+'Debt Payments'!$C5)-AE77)</f>
        <v>0</v>
      </c>
      <c r="AG84" s="2">
        <f>MAX(0,AF84*(1+'Debt Payments'!$C5)-AF77)</f>
        <v>0</v>
      </c>
      <c r="AH84" s="2">
        <f>MAX(0,AG84*(1+'Debt Payments'!$C5)-AG77)</f>
        <v>0</v>
      </c>
      <c r="AI84" s="2">
        <f>MAX(0,AH84*(1+'Debt Payments'!$C5)-AH77)</f>
        <v>0</v>
      </c>
      <c r="AJ84" s="2">
        <f>MAX(0,AI84*(1+'Debt Payments'!$C5)-AI77)</f>
        <v>0</v>
      </c>
    </row>
    <row r="85" spans="1:36" ht="24" customHeight="1" x14ac:dyDescent="0.2">
      <c r="A85" s="1" t="str">
        <f>IF('Debt Payments'!$A6&lt;&gt;"",'Debt Payments'!$A6,"")</f>
        <v>Credit card(s)</v>
      </c>
      <c r="B85" s="2">
        <f>'Debt Payments'!D6</f>
        <v>0</v>
      </c>
      <c r="C85" s="2">
        <f>MAX(0,B85*(1+'Debt Payments'!$C6)-B78)</f>
        <v>0</v>
      </c>
      <c r="D85" s="2">
        <f>MAX(0,C85*(1+'Debt Payments'!$C6)-C78)</f>
        <v>0</v>
      </c>
      <c r="E85" s="2">
        <f>MAX(0,D85*(1+'Debt Payments'!$C6)-D78)</f>
        <v>0</v>
      </c>
      <c r="F85" s="2">
        <f>MAX(0,E85*(1+'Debt Payments'!$C6)-E78)</f>
        <v>0</v>
      </c>
      <c r="G85" s="2">
        <f>MAX(0,F85*(1+'Debt Payments'!$C6)-F78)</f>
        <v>0</v>
      </c>
      <c r="H85" s="2">
        <f>MAX(0,G85*(1+'Debt Payments'!$C6)-G78)</f>
        <v>0</v>
      </c>
      <c r="I85" s="2">
        <f>MAX(0,H85*(1+'Debt Payments'!$C6)-H78)</f>
        <v>0</v>
      </c>
      <c r="J85" s="2">
        <f>MAX(0,I85*(1+'Debt Payments'!$C6)-I78)</f>
        <v>0</v>
      </c>
      <c r="K85" s="2">
        <f>MAX(0,J85*(1+'Debt Payments'!$C6)-J78)</f>
        <v>0</v>
      </c>
      <c r="L85" s="2">
        <f>MAX(0,K85*(1+'Debt Payments'!$C6)-K78)</f>
        <v>0</v>
      </c>
      <c r="M85" s="2">
        <f>MAX(0,L85*(1+'Debt Payments'!$C6)-L78)</f>
        <v>0</v>
      </c>
      <c r="N85" s="2">
        <f>MAX(0,M85*(1+'Debt Payments'!$C6)-M78)</f>
        <v>0</v>
      </c>
      <c r="O85" s="2">
        <f>MAX(0,N85*(1+'Debt Payments'!$C6)-N78)</f>
        <v>0</v>
      </c>
      <c r="P85" s="2">
        <f>MAX(0,O85*(1+'Debt Payments'!$C6)-O78)</f>
        <v>0</v>
      </c>
      <c r="Q85" s="2">
        <f>MAX(0,P85*(1+'Debt Payments'!$C6)-P78)</f>
        <v>0</v>
      </c>
      <c r="R85" s="2">
        <f>MAX(0,Q85*(1+'Debt Payments'!$C6)-Q78)</f>
        <v>0</v>
      </c>
      <c r="S85" s="2">
        <f>MAX(0,R85*(1+'Debt Payments'!$C6)-R78)</f>
        <v>0</v>
      </c>
      <c r="T85" s="2">
        <f>MAX(0,S85*(1+'Debt Payments'!$C6)-S78)</f>
        <v>0</v>
      </c>
      <c r="U85" s="2">
        <f>MAX(0,T85*(1+'Debt Payments'!$C6)-T78)</f>
        <v>0</v>
      </c>
      <c r="V85" s="2">
        <f>MAX(0,U85*(1+'Debt Payments'!$C6)-U78)</f>
        <v>0</v>
      </c>
      <c r="W85" s="2">
        <f>MAX(0,V85*(1+'Debt Payments'!$C6)-V78)</f>
        <v>0</v>
      </c>
      <c r="X85" s="2">
        <f>MAX(0,W85*(1+'Debt Payments'!$C6)-W78)</f>
        <v>0</v>
      </c>
      <c r="Y85" s="2">
        <f>MAX(0,X85*(1+'Debt Payments'!$C6)-X78)</f>
        <v>0</v>
      </c>
      <c r="Z85" s="2">
        <f>MAX(0,Y85*(1+'Debt Payments'!$C6)-Y78)</f>
        <v>0</v>
      </c>
      <c r="AA85" s="2">
        <f>MAX(0,Z85*(1+'Debt Payments'!$C6)-Z78)</f>
        <v>0</v>
      </c>
      <c r="AB85" s="2">
        <f>MAX(0,AA85*(1+'Debt Payments'!$C6)-AA78)</f>
        <v>0</v>
      </c>
      <c r="AC85" s="2">
        <f>MAX(0,AB85*(1+'Debt Payments'!$C6)-AB78)</f>
        <v>0</v>
      </c>
      <c r="AD85" s="2">
        <f>MAX(0,AC85*(1+'Debt Payments'!$C6)-AC78)</f>
        <v>0</v>
      </c>
      <c r="AE85" s="2">
        <f>MAX(0,AD85*(1+'Debt Payments'!$C6)-AD78)</f>
        <v>0</v>
      </c>
      <c r="AF85" s="2">
        <f>MAX(0,AE85*(1+'Debt Payments'!$C6)-AE78)</f>
        <v>0</v>
      </c>
      <c r="AG85" s="2">
        <f>MAX(0,AF85*(1+'Debt Payments'!$C6)-AF78)</f>
        <v>0</v>
      </c>
      <c r="AH85" s="2">
        <f>MAX(0,AG85*(1+'Debt Payments'!$C6)-AG78)</f>
        <v>0</v>
      </c>
      <c r="AI85" s="2">
        <f>MAX(0,AH85*(1+'Debt Payments'!$C6)-AH78)</f>
        <v>0</v>
      </c>
      <c r="AJ85" s="2">
        <f>MAX(0,AI85*(1+'Debt Payments'!$C6)-AI78)</f>
        <v>0</v>
      </c>
    </row>
    <row r="86" spans="1:36" ht="24" customHeight="1" x14ac:dyDescent="0.2">
      <c r="A86" s="1" t="str">
        <f>IF('Debt Payments'!$A7&lt;&gt;"",'Debt Payments'!$A7,"")</f>
        <v>…</v>
      </c>
      <c r="B86" s="2">
        <f>'Debt Payments'!D7</f>
        <v>0</v>
      </c>
      <c r="C86" s="2">
        <f>MAX(0,B86*(1+'Debt Payments'!$C7)-B79)</f>
        <v>0</v>
      </c>
      <c r="D86" s="2">
        <f>MAX(0,C86*(1+'Debt Payments'!$C7)-C79)</f>
        <v>0</v>
      </c>
      <c r="E86" s="2">
        <f>MAX(0,D86*(1+'Debt Payments'!$C7)-D79)</f>
        <v>0</v>
      </c>
      <c r="F86" s="2">
        <f>MAX(0,E86*(1+'Debt Payments'!$C7)-E79)</f>
        <v>0</v>
      </c>
      <c r="G86" s="2">
        <f>MAX(0,F86*(1+'Debt Payments'!$C7)-F79)</f>
        <v>0</v>
      </c>
      <c r="H86" s="2">
        <f>MAX(0,G86*(1+'Debt Payments'!$C7)-G79)</f>
        <v>0</v>
      </c>
      <c r="I86" s="2">
        <f>MAX(0,H86*(1+'Debt Payments'!$C7)-H79)</f>
        <v>0</v>
      </c>
      <c r="J86" s="2">
        <f>MAX(0,I86*(1+'Debt Payments'!$C7)-I79)</f>
        <v>0</v>
      </c>
      <c r="K86" s="2">
        <f>MAX(0,J86*(1+'Debt Payments'!$C7)-J79)</f>
        <v>0</v>
      </c>
      <c r="L86" s="2">
        <f>MAX(0,K86*(1+'Debt Payments'!$C7)-K79)</f>
        <v>0</v>
      </c>
      <c r="M86" s="2">
        <f>MAX(0,L86*(1+'Debt Payments'!$C7)-L79)</f>
        <v>0</v>
      </c>
      <c r="N86" s="2">
        <f>MAX(0,M86*(1+'Debt Payments'!$C7)-M79)</f>
        <v>0</v>
      </c>
      <c r="O86" s="2">
        <f>MAX(0,N86*(1+'Debt Payments'!$C7)-N79)</f>
        <v>0</v>
      </c>
      <c r="P86" s="2">
        <f>MAX(0,O86*(1+'Debt Payments'!$C7)-O79)</f>
        <v>0</v>
      </c>
      <c r="Q86" s="2">
        <f>MAX(0,P86*(1+'Debt Payments'!$C7)-P79)</f>
        <v>0</v>
      </c>
      <c r="R86" s="2">
        <f>MAX(0,Q86*(1+'Debt Payments'!$C7)-Q79)</f>
        <v>0</v>
      </c>
      <c r="S86" s="2">
        <f>MAX(0,R86*(1+'Debt Payments'!$C7)-R79)</f>
        <v>0</v>
      </c>
      <c r="T86" s="2">
        <f>MAX(0,S86*(1+'Debt Payments'!$C7)-S79)</f>
        <v>0</v>
      </c>
      <c r="U86" s="2">
        <f>MAX(0,T86*(1+'Debt Payments'!$C7)-T79)</f>
        <v>0</v>
      </c>
      <c r="V86" s="2">
        <f>MAX(0,U86*(1+'Debt Payments'!$C7)-U79)</f>
        <v>0</v>
      </c>
      <c r="W86" s="2">
        <f>MAX(0,V86*(1+'Debt Payments'!$C7)-V79)</f>
        <v>0</v>
      </c>
      <c r="X86" s="2">
        <f>MAX(0,W86*(1+'Debt Payments'!$C7)-W79)</f>
        <v>0</v>
      </c>
      <c r="Y86" s="2">
        <f>MAX(0,X86*(1+'Debt Payments'!$C7)-X79)</f>
        <v>0</v>
      </c>
      <c r="Z86" s="2">
        <f>MAX(0,Y86*(1+'Debt Payments'!$C7)-Y79)</f>
        <v>0</v>
      </c>
      <c r="AA86" s="2">
        <f>MAX(0,Z86*(1+'Debt Payments'!$C7)-Z79)</f>
        <v>0</v>
      </c>
      <c r="AB86" s="2">
        <f>MAX(0,AA86*(1+'Debt Payments'!$C7)-AA79)</f>
        <v>0</v>
      </c>
      <c r="AC86" s="2">
        <f>MAX(0,AB86*(1+'Debt Payments'!$C7)-AB79)</f>
        <v>0</v>
      </c>
      <c r="AD86" s="2">
        <f>MAX(0,AC86*(1+'Debt Payments'!$C7)-AC79)</f>
        <v>0</v>
      </c>
      <c r="AE86" s="2">
        <f>MAX(0,AD86*(1+'Debt Payments'!$C7)-AD79)</f>
        <v>0</v>
      </c>
      <c r="AF86" s="2">
        <f>MAX(0,AE86*(1+'Debt Payments'!$C7)-AE79)</f>
        <v>0</v>
      </c>
      <c r="AG86" s="2">
        <f>MAX(0,AF86*(1+'Debt Payments'!$C7)-AF79)</f>
        <v>0</v>
      </c>
      <c r="AH86" s="2">
        <f>MAX(0,AG86*(1+'Debt Payments'!$C7)-AG79)</f>
        <v>0</v>
      </c>
      <c r="AI86" s="2">
        <f>MAX(0,AH86*(1+'Debt Payments'!$C7)-AH79)</f>
        <v>0</v>
      </c>
      <c r="AJ86" s="2">
        <f>MAX(0,AI86*(1+'Debt Payments'!$C7)-AI79)</f>
        <v>0</v>
      </c>
    </row>
    <row r="87" spans="1:36" ht="24" customHeight="1" x14ac:dyDescent="0.2">
      <c r="A87" s="1" t="str">
        <f>IF('Debt Payments'!$A8&lt;&gt;"",'Debt Payments'!$A8,"")</f>
        <v/>
      </c>
      <c r="B87" s="2">
        <f>'Debt Payments'!D8</f>
        <v>0</v>
      </c>
      <c r="C87" s="2">
        <f>MAX(0,B87*(1+'Debt Payments'!$C8)-B80)</f>
        <v>0</v>
      </c>
      <c r="D87" s="2">
        <f>MAX(0,C87*(1+'Debt Payments'!$C8)-C80)</f>
        <v>0</v>
      </c>
      <c r="E87" s="2">
        <f>MAX(0,D87*(1+'Debt Payments'!$C8)-D80)</f>
        <v>0</v>
      </c>
      <c r="F87" s="2">
        <f>MAX(0,E87*(1+'Debt Payments'!$C8)-E80)</f>
        <v>0</v>
      </c>
      <c r="G87" s="2">
        <f>MAX(0,F87*(1+'Debt Payments'!$C8)-F80)</f>
        <v>0</v>
      </c>
      <c r="H87" s="2">
        <f>MAX(0,G87*(1+'Debt Payments'!$C8)-G80)</f>
        <v>0</v>
      </c>
      <c r="I87" s="2">
        <f>MAX(0,H87*(1+'Debt Payments'!$C8)-H80)</f>
        <v>0</v>
      </c>
      <c r="J87" s="2">
        <f>MAX(0,I87*(1+'Debt Payments'!$C8)-I80)</f>
        <v>0</v>
      </c>
      <c r="K87" s="2">
        <f>MAX(0,J87*(1+'Debt Payments'!$C8)-J80)</f>
        <v>0</v>
      </c>
      <c r="L87" s="2">
        <f>MAX(0,K87*(1+'Debt Payments'!$C8)-K80)</f>
        <v>0</v>
      </c>
      <c r="M87" s="2">
        <f>MAX(0,L87*(1+'Debt Payments'!$C8)-L80)</f>
        <v>0</v>
      </c>
      <c r="N87" s="2">
        <f>MAX(0,M87*(1+'Debt Payments'!$C8)-M80)</f>
        <v>0</v>
      </c>
      <c r="O87" s="2">
        <f>MAX(0,N87*(1+'Debt Payments'!$C8)-N80)</f>
        <v>0</v>
      </c>
      <c r="P87" s="2">
        <f>MAX(0,O87*(1+'Debt Payments'!$C8)-O80)</f>
        <v>0</v>
      </c>
      <c r="Q87" s="2">
        <f>MAX(0,P87*(1+'Debt Payments'!$C8)-P80)</f>
        <v>0</v>
      </c>
      <c r="R87" s="2">
        <f>MAX(0,Q87*(1+'Debt Payments'!$C8)-Q80)</f>
        <v>0</v>
      </c>
      <c r="S87" s="2">
        <f>MAX(0,R87*(1+'Debt Payments'!$C8)-R80)</f>
        <v>0</v>
      </c>
      <c r="T87" s="2">
        <f>MAX(0,S87*(1+'Debt Payments'!$C8)-S80)</f>
        <v>0</v>
      </c>
      <c r="U87" s="2">
        <f>MAX(0,T87*(1+'Debt Payments'!$C8)-T80)</f>
        <v>0</v>
      </c>
      <c r="V87" s="2">
        <f>MAX(0,U87*(1+'Debt Payments'!$C8)-U80)</f>
        <v>0</v>
      </c>
      <c r="W87" s="2">
        <f>MAX(0,V87*(1+'Debt Payments'!$C8)-V80)</f>
        <v>0</v>
      </c>
      <c r="X87" s="2">
        <f>MAX(0,W87*(1+'Debt Payments'!$C8)-W80)</f>
        <v>0</v>
      </c>
      <c r="Y87" s="2">
        <f>MAX(0,X87*(1+'Debt Payments'!$C8)-X80)</f>
        <v>0</v>
      </c>
      <c r="Z87" s="2">
        <f>MAX(0,Y87*(1+'Debt Payments'!$C8)-Y80)</f>
        <v>0</v>
      </c>
      <c r="AA87" s="2">
        <f>MAX(0,Z87*(1+'Debt Payments'!$C8)-Z80)</f>
        <v>0</v>
      </c>
      <c r="AB87" s="2">
        <f>MAX(0,AA87*(1+'Debt Payments'!$C8)-AA80)</f>
        <v>0</v>
      </c>
      <c r="AC87" s="2">
        <f>MAX(0,AB87*(1+'Debt Payments'!$C8)-AB80)</f>
        <v>0</v>
      </c>
      <c r="AD87" s="2">
        <f>MAX(0,AC87*(1+'Debt Payments'!$C8)-AC80)</f>
        <v>0</v>
      </c>
      <c r="AE87" s="2">
        <f>MAX(0,AD87*(1+'Debt Payments'!$C8)-AD80)</f>
        <v>0</v>
      </c>
      <c r="AF87" s="2">
        <f>MAX(0,AE87*(1+'Debt Payments'!$C8)-AE80)</f>
        <v>0</v>
      </c>
      <c r="AG87" s="2">
        <f>MAX(0,AF87*(1+'Debt Payments'!$C8)-AF80)</f>
        <v>0</v>
      </c>
      <c r="AH87" s="2">
        <f>MAX(0,AG87*(1+'Debt Payments'!$C8)-AG80)</f>
        <v>0</v>
      </c>
      <c r="AI87" s="2">
        <f>MAX(0,AH87*(1+'Debt Payments'!$C8)-AH80)</f>
        <v>0</v>
      </c>
      <c r="AJ87" s="2">
        <f>MAX(0,AI87*(1+'Debt Payments'!$C8)-AI80)</f>
        <v>0</v>
      </c>
    </row>
    <row r="88" spans="1:36" ht="24" customHeight="1" x14ac:dyDescent="0.2"/>
    <row r="89" spans="1:36" ht="24" customHeight="1" x14ac:dyDescent="0.2">
      <c r="A89" s="22" t="s">
        <v>326</v>
      </c>
      <c r="B89" s="231" t="s">
        <v>333</v>
      </c>
      <c r="C89" s="231" t="s">
        <v>318</v>
      </c>
      <c r="D89" s="231"/>
    </row>
    <row r="90" spans="1:36" ht="24" customHeight="1" x14ac:dyDescent="0.2">
      <c r="A90" s="1" t="s">
        <v>327</v>
      </c>
      <c r="B90" s="4">
        <f>IF('retirement income vs spending'!$B41,'retirement income vs spending'!$J41,0)</f>
        <v>0</v>
      </c>
      <c r="C90" s="229"/>
    </row>
    <row r="91" spans="1:36" ht="24" customHeight="1" x14ac:dyDescent="0.2">
      <c r="A91" s="1" t="s">
        <v>328</v>
      </c>
      <c r="B91" s="2">
        <f>IF('retirement income vs spending'!$B42,'retirement income vs spending'!$J42,0)</f>
        <v>0</v>
      </c>
      <c r="C91" s="228">
        <f>IF('retirement income vs spending'!$B42,'retirement income vs spending'!$O42,0)</f>
        <v>0</v>
      </c>
    </row>
    <row r="92" spans="1:36" ht="24" customHeight="1" x14ac:dyDescent="0.2">
      <c r="A92" s="1" t="s">
        <v>329</v>
      </c>
      <c r="B92" s="2">
        <f>IF('retirement income vs spending'!$B43,'retirement income vs spending'!$J43,0)</f>
        <v>0</v>
      </c>
      <c r="C92" s="228"/>
    </row>
    <row r="93" spans="1:36" ht="24" customHeight="1" x14ac:dyDescent="0.2">
      <c r="A93" s="1" t="s">
        <v>360</v>
      </c>
      <c r="B93" s="2">
        <f>IF('retirement income vs spending'!$B44,VLOOKUP(C93,'Total Income'!$G$6:$J$14,3),0)</f>
        <v>0</v>
      </c>
      <c r="C93" s="228">
        <f>IF('retirement income vs spending'!$B44,'retirement income vs spending'!$L44,0)</f>
        <v>0</v>
      </c>
    </row>
    <row r="94" spans="1:36" ht="24" customHeight="1" x14ac:dyDescent="0.2">
      <c r="A94" s="1"/>
      <c r="B94" s="2">
        <f>IF(AND('retirement income vs spending'!$B44,Assumptions!$B$3="M"),VLOOKUP(Projections!C93,'Total Income'!$G$6:$J$14,4),0)</f>
        <v>0</v>
      </c>
      <c r="C94" s="228"/>
      <c r="D94" s="228">
        <f>C93</f>
        <v>0</v>
      </c>
    </row>
    <row r="95" spans="1:36" ht="24" customHeight="1" x14ac:dyDescent="0.2">
      <c r="A95" s="1" t="s">
        <v>330</v>
      </c>
      <c r="B95" s="2">
        <f>IF('retirement income vs spending'!$B45,'retirement income vs spending'!$J45,0)</f>
        <v>0</v>
      </c>
      <c r="C95" s="228">
        <f>IF('retirement income vs spending'!$B45,'retirement income vs spending'!$O45,0)</f>
        <v>0</v>
      </c>
      <c r="D95" s="2">
        <f>IF('retirement income vs spending'!$B45,'retirement income vs spending'!$U45,0)</f>
        <v>0</v>
      </c>
    </row>
    <row r="96" spans="1:36" ht="24" customHeight="1" x14ac:dyDescent="0.2">
      <c r="A96" s="1" t="s">
        <v>331</v>
      </c>
      <c r="B96" s="2">
        <f>IF('retirement income vs spending'!$B46,Charts!B43,0)</f>
        <v>0</v>
      </c>
      <c r="C96" s="228" t="str">
        <f>IF('retirement income vs spending'!$B46,'retirement income vs spending'!$O46,"")</f>
        <v/>
      </c>
    </row>
    <row r="97" spans="1:36" ht="24" customHeight="1" x14ac:dyDescent="0.2"/>
    <row r="98" spans="1:36" ht="24" customHeight="1" x14ac:dyDescent="0.2">
      <c r="A98" s="1" t="s">
        <v>361</v>
      </c>
      <c r="B98" s="2">
        <f>12*(SUMIF($C$93:$C$94,"&lt;="&amp;B$4,$B$93:$B$94)*(1+Assumptions!$C$10)^MAX(0,Projections!B$4-$C$93)+IF(Assumptions!$B$3="M",SUMIF($D$93:$D$94,"&lt;="&amp;B$5,$B$93:$B$94)*(1+Assumptions!$C$10)^MAX(0,Projections!B$5-$D$94),0))</f>
        <v>0</v>
      </c>
      <c r="C98" s="2">
        <f>12*(SUMIF($C$93:$C$94,"&lt;="&amp;C$4,$B$93:$B$94)*(1+Assumptions!$C$10)^MAX(0,Projections!C$4-$C$93)+IF(Assumptions!$B$3="M",SUMIF($D$93:$D$94,"&lt;="&amp;C$5,$B$93:$B$94)*(1+Assumptions!$C$10)^MAX(0,Projections!C$5-$D$94),0))</f>
        <v>0</v>
      </c>
      <c r="D98" s="2">
        <f>12*(SUMIF($C$93:$C$94,"&lt;="&amp;D$4,$B$93:$B$94)*(1+Assumptions!$C$10)^MAX(0,Projections!D$4-$C$93)+IF(Assumptions!$B$3="M",SUMIF($D$93:$D$94,"&lt;="&amp;D$5,$B$93:$B$94)*(1+Assumptions!$C$10)^MAX(0,Projections!D$5-$D$94),0))</f>
        <v>0</v>
      </c>
      <c r="E98" s="2">
        <f>12*(SUMIF($C$93:$C$94,"&lt;="&amp;E$4,$B$93:$B$94)*(1+Assumptions!$C$10)^MAX(0,Projections!E$4-$C$93)+IF(Assumptions!$B$3="M",SUMIF($D$93:$D$94,"&lt;="&amp;E$5,$B$93:$B$94)*(1+Assumptions!$C$10)^MAX(0,Projections!E$5-$D$94),0))</f>
        <v>0</v>
      </c>
      <c r="F98" s="2">
        <f>12*(SUMIF($C$93:$C$94,"&lt;="&amp;F$4,$B$93:$B$94)*(1+Assumptions!$C$10)^MAX(0,Projections!F$4-$C$93)+IF(Assumptions!$B$3="M",SUMIF($D$93:$D$94,"&lt;="&amp;F$5,$B$93:$B$94)*(1+Assumptions!$C$10)^MAX(0,Projections!F$5-$D$94),0))</f>
        <v>0</v>
      </c>
      <c r="G98" s="2">
        <f>12*(SUMIF($C$93:$C$94,"&lt;="&amp;G$4,$B$93:$B$94)*(1+Assumptions!$C$10)^MAX(0,Projections!G$4-$C$93)+IF(Assumptions!$B$3="M",SUMIF($D$93:$D$94,"&lt;="&amp;G$5,$B$93:$B$94)*(1+Assumptions!$C$10)^MAX(0,Projections!G$5-$D$94),0))</f>
        <v>0</v>
      </c>
      <c r="H98" s="2">
        <f>12*(SUMIF($C$93:$C$94,"&lt;="&amp;H$4,$B$93:$B$94)*(1+Assumptions!$C$10)^MAX(0,Projections!H$4-$C$93)+IF(Assumptions!$B$3="M",SUMIF($D$93:$D$94,"&lt;="&amp;H$5,$B$93:$B$94)*(1+Assumptions!$C$10)^MAX(0,Projections!H$5-$D$94),0))</f>
        <v>0</v>
      </c>
      <c r="I98" s="2">
        <f>12*(SUMIF($C$93:$C$94,"&lt;="&amp;I$4,$B$93:$B$94)*(1+Assumptions!$C$10)^MAX(0,Projections!I$4-$C$93)+IF(Assumptions!$B$3="M",SUMIF($D$93:$D$94,"&lt;="&amp;I$5,$B$93:$B$94)*(1+Assumptions!$C$10)^MAX(0,Projections!I$5-$D$94),0))</f>
        <v>0</v>
      </c>
      <c r="J98" s="2">
        <f>12*(SUMIF($C$93:$C$94,"&lt;="&amp;J$4,$B$93:$B$94)*(1+Assumptions!$C$10)^MAX(0,Projections!J$4-$C$93)+IF(Assumptions!$B$3="M",SUMIF($D$93:$D$94,"&lt;="&amp;J$5,$B$93:$B$94)*(1+Assumptions!$C$10)^MAX(0,Projections!J$5-$D$94),0))</f>
        <v>0</v>
      </c>
      <c r="K98" s="2">
        <f>12*(SUMIF($C$93:$C$94,"&lt;="&amp;K$4,$B$93:$B$94)*(1+Assumptions!$C$10)^MAX(0,Projections!K$4-$C$93)+IF(Assumptions!$B$3="M",SUMIF($D$93:$D$94,"&lt;="&amp;K$5,$B$93:$B$94)*(1+Assumptions!$C$10)^MAX(0,Projections!K$5-$D$94),0))</f>
        <v>0</v>
      </c>
      <c r="L98" s="2">
        <f>12*(SUMIF($C$93:$C$94,"&lt;="&amp;L$4,$B$93:$B$94)*(1+Assumptions!$C$10)^MAX(0,Projections!L$4-$C$93)+IF(Assumptions!$B$3="M",SUMIF($D$93:$D$94,"&lt;="&amp;L$5,$B$93:$B$94)*(1+Assumptions!$C$10)^MAX(0,Projections!L$5-$D$94),0))</f>
        <v>0</v>
      </c>
      <c r="M98" s="2">
        <f>12*(SUMIF($C$93:$C$94,"&lt;="&amp;M$4,$B$93:$B$94)*(1+Assumptions!$C$10)^MAX(0,Projections!M$4-$C$93)+IF(Assumptions!$B$3="M",SUMIF($D$93:$D$94,"&lt;="&amp;M$5,$B$93:$B$94)*(1+Assumptions!$C$10)^MAX(0,Projections!M$5-$D$94),0))</f>
        <v>0</v>
      </c>
      <c r="N98" s="2">
        <f>12*(SUMIF($C$93:$C$94,"&lt;="&amp;N$4,$B$93:$B$94)*(1+Assumptions!$C$10)^MAX(0,Projections!N$4-$C$93)+IF(Assumptions!$B$3="M",SUMIF($D$93:$D$94,"&lt;="&amp;N$5,$B$93:$B$94)*(1+Assumptions!$C$10)^MAX(0,Projections!N$5-$D$94),0))</f>
        <v>0</v>
      </c>
      <c r="O98" s="2">
        <f>12*(SUMIF($C$93:$C$94,"&lt;="&amp;O$4,$B$93:$B$94)*(1+Assumptions!$C$10)^MAX(0,Projections!O$4-$C$93)+IF(Assumptions!$B$3="M",SUMIF($D$93:$D$94,"&lt;="&amp;O$5,$B$93:$B$94)*(1+Assumptions!$C$10)^MAX(0,Projections!O$5-$D$94),0))</f>
        <v>0</v>
      </c>
      <c r="P98" s="2">
        <f>12*(SUMIF($C$93:$C$94,"&lt;="&amp;P$4,$B$93:$B$94)*(1+Assumptions!$C$10)^MAX(0,Projections!P$4-$C$93)+IF(Assumptions!$B$3="M",SUMIF($D$93:$D$94,"&lt;="&amp;P$5,$B$93:$B$94)*(1+Assumptions!$C$10)^MAX(0,Projections!P$5-$D$94),0))</f>
        <v>0</v>
      </c>
      <c r="Q98" s="2">
        <f>12*(SUMIF($C$93:$C$94,"&lt;="&amp;Q$4,$B$93:$B$94)*(1+Assumptions!$C$10)^MAX(0,Projections!Q$4-$C$93)+IF(Assumptions!$B$3="M",SUMIF($D$93:$D$94,"&lt;="&amp;Q$5,$B$93:$B$94)*(1+Assumptions!$C$10)^MAX(0,Projections!Q$5-$D$94),0))</f>
        <v>0</v>
      </c>
      <c r="R98" s="2">
        <f>12*(SUMIF($C$93:$C$94,"&lt;="&amp;R$4,$B$93:$B$94)*(1+Assumptions!$C$10)^MAX(0,Projections!R$4-$C$93)+IF(Assumptions!$B$3="M",SUMIF($D$93:$D$94,"&lt;="&amp;R$5,$B$93:$B$94)*(1+Assumptions!$C$10)^MAX(0,Projections!R$5-$D$94),0))</f>
        <v>0</v>
      </c>
      <c r="S98" s="2">
        <f>12*(SUMIF($C$93:$C$94,"&lt;="&amp;S$4,$B$93:$B$94)*(1+Assumptions!$C$10)^MAX(0,Projections!S$4-$C$93)+IF(Assumptions!$B$3="M",SUMIF($D$93:$D$94,"&lt;="&amp;S$5,$B$93:$B$94)*(1+Assumptions!$C$10)^MAX(0,Projections!S$5-$D$94),0))</f>
        <v>0</v>
      </c>
      <c r="T98" s="2">
        <f>12*(SUMIF($C$93:$C$94,"&lt;="&amp;T$4,$B$93:$B$94)*(1+Assumptions!$C$10)^MAX(0,Projections!T$4-$C$93)+IF(Assumptions!$B$3="M",SUMIF($D$93:$D$94,"&lt;="&amp;T$5,$B$93:$B$94)*(1+Assumptions!$C$10)^MAX(0,Projections!T$5-$D$94),0))</f>
        <v>0</v>
      </c>
      <c r="U98" s="2">
        <f>12*(SUMIF($C$93:$C$94,"&lt;="&amp;U$4,$B$93:$B$94)*(1+Assumptions!$C$10)^MAX(0,Projections!U$4-$C$93)+IF(Assumptions!$B$3="M",SUMIF($D$93:$D$94,"&lt;="&amp;U$5,$B$93:$B$94)*(1+Assumptions!$C$10)^MAX(0,Projections!U$5-$D$94),0))</f>
        <v>0</v>
      </c>
      <c r="V98" s="2">
        <f>12*(SUMIF($C$93:$C$94,"&lt;="&amp;V$4,$B$93:$B$94)*(1+Assumptions!$C$10)^MAX(0,Projections!V$4-$C$93)+IF(Assumptions!$B$3="M",SUMIF($D$93:$D$94,"&lt;="&amp;V$5,$B$93:$B$94)*(1+Assumptions!$C$10)^MAX(0,Projections!V$5-$D$94),0))</f>
        <v>0</v>
      </c>
      <c r="W98" s="2">
        <f>12*(SUMIF($C$93:$C$94,"&lt;="&amp;W$4,$B$93:$B$94)*(1+Assumptions!$C$10)^MAX(0,Projections!W$4-$C$93)+IF(Assumptions!$B$3="M",SUMIF($D$93:$D$94,"&lt;="&amp;W$5,$B$93:$B$94)*(1+Assumptions!$C$10)^MAX(0,Projections!W$5-$D$94),0))</f>
        <v>0</v>
      </c>
      <c r="X98" s="2">
        <f>12*(SUMIF($C$93:$C$94,"&lt;="&amp;X$4,$B$93:$B$94)*(1+Assumptions!$C$10)^MAX(0,Projections!X$4-$C$93)+IF(Assumptions!$B$3="M",SUMIF($D$93:$D$94,"&lt;="&amp;X$5,$B$93:$B$94)*(1+Assumptions!$C$10)^MAX(0,Projections!X$5-$D$94),0))</f>
        <v>0</v>
      </c>
      <c r="Y98" s="2">
        <f>12*(SUMIF($C$93:$C$94,"&lt;="&amp;Y$4,$B$93:$B$94)*(1+Assumptions!$C$10)^MAX(0,Projections!Y$4-$C$93)+IF(Assumptions!$B$3="M",SUMIF($D$93:$D$94,"&lt;="&amp;Y$5,$B$93:$B$94)*(1+Assumptions!$C$10)^MAX(0,Projections!Y$5-$D$94),0))</f>
        <v>0</v>
      </c>
      <c r="Z98" s="2">
        <f>12*(SUMIF($C$93:$C$94,"&lt;="&amp;Z$4,$B$93:$B$94)*(1+Assumptions!$C$10)^MAX(0,Projections!Z$4-$C$93)+IF(Assumptions!$B$3="M",SUMIF($D$93:$D$94,"&lt;="&amp;Z$5,$B$93:$B$94)*(1+Assumptions!$C$10)^MAX(0,Projections!Z$5-$D$94),0))</f>
        <v>0</v>
      </c>
      <c r="AA98" s="2">
        <f>12*(SUMIF($C$93:$C$94,"&lt;="&amp;AA$4,$B$93:$B$94)*(1+Assumptions!$C$10)^MAX(0,Projections!AA$4-$C$93)+IF(Assumptions!$B$3="M",SUMIF($D$93:$D$94,"&lt;="&amp;AA$5,$B$93:$B$94)*(1+Assumptions!$C$10)^MAX(0,Projections!AA$5-$D$94),0))</f>
        <v>0</v>
      </c>
      <c r="AB98" s="2">
        <f>12*(SUMIF($C$93:$C$94,"&lt;="&amp;AB$4,$B$93:$B$94)*(1+Assumptions!$C$10)^MAX(0,Projections!AB$4-$C$93)+IF(Assumptions!$B$3="M",SUMIF($D$93:$D$94,"&lt;="&amp;AB$5,$B$93:$B$94)*(1+Assumptions!$C$10)^MAX(0,Projections!AB$5-$D$94),0))</f>
        <v>0</v>
      </c>
      <c r="AC98" s="2">
        <f>12*(SUMIF($C$93:$C$94,"&lt;="&amp;AC$4,$B$93:$B$94)*(1+Assumptions!$C$10)^MAX(0,Projections!AC$4-$C$93)+IF(Assumptions!$B$3="M",SUMIF($D$93:$D$94,"&lt;="&amp;AC$5,$B$93:$B$94)*(1+Assumptions!$C$10)^MAX(0,Projections!AC$5-$D$94),0))</f>
        <v>0</v>
      </c>
      <c r="AD98" s="2">
        <f>12*(SUMIF($C$93:$C$94,"&lt;="&amp;AD$4,$B$93:$B$94)*(1+Assumptions!$C$10)^MAX(0,Projections!AD$4-$C$93)+IF(Assumptions!$B$3="M",SUMIF($D$93:$D$94,"&lt;="&amp;AD$5,$B$93:$B$94)*(1+Assumptions!$C$10)^MAX(0,Projections!AD$5-$D$94),0))</f>
        <v>0</v>
      </c>
      <c r="AE98" s="2">
        <f>12*(SUMIF($C$93:$C$94,"&lt;="&amp;AE$4,$B$93:$B$94)*(1+Assumptions!$C$10)^MAX(0,Projections!AE$4-$C$93)+IF(Assumptions!$B$3="M",SUMIF($D$93:$D$94,"&lt;="&amp;AE$5,$B$93:$B$94)*(1+Assumptions!$C$10)^MAX(0,Projections!AE$5-$D$94),0))</f>
        <v>0</v>
      </c>
      <c r="AF98" s="2">
        <f>12*(SUMIF($C$93:$C$94,"&lt;="&amp;AF$4,$B$93:$B$94)*(1+Assumptions!$C$10)^MAX(0,Projections!AF$4-$C$93)+IF(Assumptions!$B$3="M",SUMIF($D$93:$D$94,"&lt;="&amp;AF$5,$B$93:$B$94)*(1+Assumptions!$C$10)^MAX(0,Projections!AF$5-$D$94),0))</f>
        <v>0</v>
      </c>
      <c r="AG98" s="2">
        <f>12*(SUMIF($C$93:$C$94,"&lt;="&amp;AG$4,$B$93:$B$94)*(1+Assumptions!$C$10)^MAX(0,Projections!AG$4-$C$93)+IF(Assumptions!$B$3="M",SUMIF($D$93:$D$94,"&lt;="&amp;AG$5,$B$93:$B$94)*(1+Assumptions!$C$10)^MAX(0,Projections!AG$5-$D$94),0))</f>
        <v>0</v>
      </c>
      <c r="AH98" s="2">
        <f>12*(SUMIF($C$93:$C$94,"&lt;="&amp;AH$4,$B$93:$B$94)*(1+Assumptions!$C$10)^MAX(0,Projections!AH$4-$C$93)+IF(Assumptions!$B$3="M",SUMIF($D$93:$D$94,"&lt;="&amp;AH$5,$B$93:$B$94)*(1+Assumptions!$C$10)^MAX(0,Projections!AH$5-$D$94),0))</f>
        <v>0</v>
      </c>
      <c r="AI98" s="2">
        <f>12*(SUMIF($C$93:$C$94,"&lt;="&amp;AI$4,$B$93:$B$94)*(1+Assumptions!$C$10)^MAX(0,Projections!AI$4-$C$93)+IF(Assumptions!$B$3="M",SUMIF($D$93:$D$94,"&lt;="&amp;AI$5,$B$93:$B$94)*(1+Assumptions!$C$10)^MAX(0,Projections!AI$5-$D$94),0))</f>
        <v>0</v>
      </c>
      <c r="AJ98" s="2">
        <f>12*(SUMIF($C$93:$C$94,"&lt;="&amp;AJ$4,$B$93:$B$94)*(1+Assumptions!$C$10)^MAX(0,Projections!AJ$4-$C$93)+IF(Assumptions!$B$3="M",SUMIF($D$93:$D$94,"&lt;="&amp;AJ$5,$B$93:$B$94)*(1+Assumptions!$C$10)^MAX(0,Projections!AJ$5-$D$94),0))</f>
        <v>0</v>
      </c>
    </row>
    <row r="99" spans="1:36" ht="24" customHeight="1" x14ac:dyDescent="0.2"/>
    <row r="100" spans="1:36" ht="24" customHeight="1" x14ac:dyDescent="0.2">
      <c r="A100" s="22" t="s">
        <v>50</v>
      </c>
      <c r="B100" s="265">
        <f>CHOOSE(MATCH('retirement income vs spending'!$J$47,Tables!$L$10:$L$13,0),B101,B102,B103,B104)</f>
        <v>6.5000000000000002E-2</v>
      </c>
      <c r="C100" s="265">
        <f>CHOOSE(MATCH('retirement income vs spending'!$J$47,Tables!$L$10:$L$13,0),C101,C102,C103,C104)</f>
        <v>6.5000000000000002E-2</v>
      </c>
      <c r="D100" s="265">
        <f>CHOOSE(MATCH('retirement income vs spending'!$J$47,Tables!$L$10:$L$13,0),D101,D102,D103,D104)</f>
        <v>6.5000000000000002E-2</v>
      </c>
      <c r="E100" s="265">
        <f>CHOOSE(MATCH('retirement income vs spending'!$J$47,Tables!$L$10:$L$13,0),E101,E102,E103,E104)</f>
        <v>6.5000000000000002E-2</v>
      </c>
      <c r="F100" s="265">
        <f>CHOOSE(MATCH('retirement income vs spending'!$J$47,Tables!$L$10:$L$13,0),F101,F102,F103,F104)</f>
        <v>6.5000000000000002E-2</v>
      </c>
      <c r="G100" s="265">
        <f>CHOOSE(MATCH('retirement income vs spending'!$J$47,Tables!$L$10:$L$13,0),G101,G102,G103,G104)</f>
        <v>6.5000000000000002E-2</v>
      </c>
      <c r="H100" s="265">
        <f>CHOOSE(MATCH('retirement income vs spending'!$J$47,Tables!$L$10:$L$13,0),H101,H102,H103,H104)</f>
        <v>6.5000000000000002E-2</v>
      </c>
      <c r="I100" s="265">
        <f>CHOOSE(MATCH('retirement income vs spending'!$J$47,Tables!$L$10:$L$13,0),I101,I102,I103,I104)</f>
        <v>6.5000000000000002E-2</v>
      </c>
      <c r="J100" s="265">
        <f>CHOOSE(MATCH('retirement income vs spending'!$J$47,Tables!$L$10:$L$13,0),J101,J102,J103,J104)</f>
        <v>6.5000000000000002E-2</v>
      </c>
      <c r="K100" s="265">
        <f>CHOOSE(MATCH('retirement income vs spending'!$J$47,Tables!$L$10:$L$13,0),K101,K102,K103,K104)</f>
        <v>6.5000000000000002E-2</v>
      </c>
      <c r="L100" s="265">
        <f>CHOOSE(MATCH('retirement income vs spending'!$J$47,Tables!$L$10:$L$13,0),L101,L102,L103,L104)</f>
        <v>6.5000000000000002E-2</v>
      </c>
      <c r="M100" s="265">
        <f>CHOOSE(MATCH('retirement income vs spending'!$J$47,Tables!$L$10:$L$13,0),M101,M102,M103,M104)</f>
        <v>6.5000000000000002E-2</v>
      </c>
      <c r="N100" s="265">
        <f>CHOOSE(MATCH('retirement income vs spending'!$J$47,Tables!$L$10:$L$13,0),N101,N102,N103,N104)</f>
        <v>6.5000000000000002E-2</v>
      </c>
      <c r="O100" s="265">
        <f>CHOOSE(MATCH('retirement income vs spending'!$J$47,Tables!$L$10:$L$13,0),O101,O102,O103,O104)</f>
        <v>6.5000000000000002E-2</v>
      </c>
      <c r="P100" s="265">
        <f>CHOOSE(MATCH('retirement income vs spending'!$J$47,Tables!$L$10:$L$13,0),P101,P102,P103,P104)</f>
        <v>6.5000000000000002E-2</v>
      </c>
      <c r="Q100" s="265">
        <f>CHOOSE(MATCH('retirement income vs spending'!$J$47,Tables!$L$10:$L$13,0),Q101,Q102,Q103,Q104)</f>
        <v>6.5000000000000002E-2</v>
      </c>
      <c r="R100" s="265">
        <f>CHOOSE(MATCH('retirement income vs spending'!$J$47,Tables!$L$10:$L$13,0),R101,R102,R103,R104)</f>
        <v>6.5000000000000002E-2</v>
      </c>
      <c r="S100" s="265">
        <f>CHOOSE(MATCH('retirement income vs spending'!$J$47,Tables!$L$10:$L$13,0),S101,S102,S103,S104)</f>
        <v>6.5000000000000002E-2</v>
      </c>
      <c r="T100" s="265">
        <f>CHOOSE(MATCH('retirement income vs spending'!$J$47,Tables!$L$10:$L$13,0),T101,T102,T103,T104)</f>
        <v>6.5000000000000002E-2</v>
      </c>
      <c r="U100" s="265">
        <f>CHOOSE(MATCH('retirement income vs spending'!$J$47,Tables!$L$10:$L$13,0),U101,U102,U103,U104)</f>
        <v>6.5000000000000002E-2</v>
      </c>
      <c r="V100" s="265">
        <f>CHOOSE(MATCH('retirement income vs spending'!$J$47,Tables!$L$10:$L$13,0),V101,V102,V103,V104)</f>
        <v>6.5000000000000002E-2</v>
      </c>
      <c r="W100" s="265">
        <f>CHOOSE(MATCH('retirement income vs spending'!$J$47,Tables!$L$10:$L$13,0),W101,W102,W103,W104)</f>
        <v>6.5000000000000002E-2</v>
      </c>
      <c r="X100" s="265">
        <f>CHOOSE(MATCH('retirement income vs spending'!$J$47,Tables!$L$10:$L$13,0),X101,X102,X103,X104)</f>
        <v>6.5000000000000002E-2</v>
      </c>
      <c r="Y100" s="265">
        <f>CHOOSE(MATCH('retirement income vs spending'!$J$47,Tables!$L$10:$L$13,0),Y101,Y102,Y103,Y104)</f>
        <v>6.5000000000000002E-2</v>
      </c>
      <c r="Z100" s="265">
        <f>CHOOSE(MATCH('retirement income vs spending'!$J$47,Tables!$L$10:$L$13,0),Z101,Z102,Z103,Z104)</f>
        <v>6.5000000000000002E-2</v>
      </c>
      <c r="AA100" s="265">
        <f>CHOOSE(MATCH('retirement income vs spending'!$J$47,Tables!$L$10:$L$13,0),AA101,AA102,AA103,AA104)</f>
        <v>6.5000000000000002E-2</v>
      </c>
      <c r="AB100" s="265">
        <f>CHOOSE(MATCH('retirement income vs spending'!$J$47,Tables!$L$10:$L$13,0),AB101,AB102,AB103,AB104)</f>
        <v>6.5000000000000002E-2</v>
      </c>
      <c r="AC100" s="265">
        <f>CHOOSE(MATCH('retirement income vs spending'!$J$47,Tables!$L$10:$L$13,0),AC101,AC102,AC103,AC104)</f>
        <v>6.5000000000000002E-2</v>
      </c>
      <c r="AD100" s="265">
        <f>CHOOSE(MATCH('retirement income vs spending'!$J$47,Tables!$L$10:$L$13,0),AD101,AD102,AD103,AD104)</f>
        <v>6.5000000000000002E-2</v>
      </c>
      <c r="AE100" s="265">
        <f>CHOOSE(MATCH('retirement income vs spending'!$J$47,Tables!$L$10:$L$13,0),AE101,AE102,AE103,AE104)</f>
        <v>6.5000000000000002E-2</v>
      </c>
      <c r="AF100" s="265">
        <f>CHOOSE(MATCH('retirement income vs spending'!$J$47,Tables!$L$10:$L$13,0),AF101,AF102,AF103,AF104)</f>
        <v>6.5000000000000002E-2</v>
      </c>
      <c r="AG100" s="265">
        <f>CHOOSE(MATCH('retirement income vs spending'!$J$47,Tables!$L$10:$L$13,0),AG101,AG102,AG103,AG104)</f>
        <v>6.5000000000000002E-2</v>
      </c>
      <c r="AH100" s="265">
        <f>CHOOSE(MATCH('retirement income vs spending'!$J$47,Tables!$L$10:$L$13,0),AH101,AH102,AH103,AH104)</f>
        <v>6.5000000000000002E-2</v>
      </c>
      <c r="AI100" s="265">
        <f>CHOOSE(MATCH('retirement income vs spending'!$J$47,Tables!$L$10:$L$13,0),AI101,AI102,AI103,AI104)</f>
        <v>6.5000000000000002E-2</v>
      </c>
      <c r="AJ100" s="265">
        <f>CHOOSE(MATCH('retirement income vs spending'!$J$47,Tables!$L$10:$L$13,0),AJ101,AJ102,AJ103,AJ104)</f>
        <v>6.5000000000000002E-2</v>
      </c>
    </row>
    <row r="101" spans="1:36" ht="24" customHeight="1" x14ac:dyDescent="0.2">
      <c r="A101" s="1" t="s">
        <v>377</v>
      </c>
      <c r="B101" s="264">
        <f>CHOOSE(MATCH(Assumptions!$D$14,Tables!$L$5:$L$7,0),Tables!$M$5,Tables!$M$6,Tables!$M$7)</f>
        <v>6.5000000000000002E-2</v>
      </c>
      <c r="C101" s="26">
        <f>CHOOSE(MATCH(Assumptions!$D$14,Tables!$L$5:$L$7,0),Tables!$M$5,Tables!$M$6,Tables!$M$7)</f>
        <v>6.5000000000000002E-2</v>
      </c>
      <c r="D101" s="26">
        <f>CHOOSE(MATCH(Assumptions!$D$14,Tables!$L$5:$L$7,0),Tables!$M$5,Tables!$M$6,Tables!$M$7)</f>
        <v>6.5000000000000002E-2</v>
      </c>
      <c r="E101" s="26">
        <f>CHOOSE(MATCH(Assumptions!$D$14,Tables!$L$5:$L$7,0),Tables!$M$5,Tables!$M$6,Tables!$M$7)</f>
        <v>6.5000000000000002E-2</v>
      </c>
      <c r="F101" s="26">
        <f>CHOOSE(MATCH(Assumptions!$D$14,Tables!$L$5:$L$7,0),Tables!$M$5,Tables!$M$6,Tables!$M$7)</f>
        <v>6.5000000000000002E-2</v>
      </c>
      <c r="G101" s="26">
        <f>CHOOSE(MATCH(Assumptions!$D$14,Tables!$L$5:$L$7,0),Tables!$M$5,Tables!$M$6,Tables!$M$7)</f>
        <v>6.5000000000000002E-2</v>
      </c>
      <c r="H101" s="26">
        <f>CHOOSE(MATCH(Assumptions!$D$14,Tables!$L$5:$L$7,0),Tables!$M$5,Tables!$M$6,Tables!$M$7)</f>
        <v>6.5000000000000002E-2</v>
      </c>
      <c r="I101" s="26">
        <f>CHOOSE(MATCH(Assumptions!$D$14,Tables!$L$5:$L$7,0),Tables!$M$5,Tables!$M$6,Tables!$M$7)</f>
        <v>6.5000000000000002E-2</v>
      </c>
      <c r="J101" s="26">
        <f>CHOOSE(MATCH(Assumptions!$D$14,Tables!$L$5:$L$7,0),Tables!$M$5,Tables!$M$6,Tables!$M$7)</f>
        <v>6.5000000000000002E-2</v>
      </c>
      <c r="K101" s="26">
        <f>CHOOSE(MATCH(Assumptions!$D$14,Tables!$L$5:$L$7,0),Tables!$M$5,Tables!$M$6,Tables!$M$7)</f>
        <v>6.5000000000000002E-2</v>
      </c>
      <c r="L101" s="26">
        <f>CHOOSE(MATCH(Assumptions!$D$14,Tables!$L$5:$L$7,0),Tables!$M$5,Tables!$M$6,Tables!$M$7)</f>
        <v>6.5000000000000002E-2</v>
      </c>
      <c r="M101" s="26">
        <f>CHOOSE(MATCH(Assumptions!$D$14,Tables!$L$5:$L$7,0),Tables!$M$5,Tables!$M$6,Tables!$M$7)</f>
        <v>6.5000000000000002E-2</v>
      </c>
      <c r="N101" s="26">
        <f>CHOOSE(MATCH(Assumptions!$D$14,Tables!$L$5:$L$7,0),Tables!$M$5,Tables!$M$6,Tables!$M$7)</f>
        <v>6.5000000000000002E-2</v>
      </c>
      <c r="O101" s="26">
        <f>CHOOSE(MATCH(Assumptions!$D$14,Tables!$L$5:$L$7,0),Tables!$M$5,Tables!$M$6,Tables!$M$7)</f>
        <v>6.5000000000000002E-2</v>
      </c>
      <c r="P101" s="26">
        <f>CHOOSE(MATCH(Assumptions!$D$14,Tables!$L$5:$L$7,0),Tables!$M$5,Tables!$M$6,Tables!$M$7)</f>
        <v>6.5000000000000002E-2</v>
      </c>
      <c r="Q101" s="26">
        <f>CHOOSE(MATCH(Assumptions!$D$14,Tables!$L$5:$L$7,0),Tables!$M$5,Tables!$M$6,Tables!$M$7)</f>
        <v>6.5000000000000002E-2</v>
      </c>
      <c r="R101" s="26">
        <f>CHOOSE(MATCH(Assumptions!$D$14,Tables!$L$5:$L$7,0),Tables!$M$5,Tables!$M$6,Tables!$M$7)</f>
        <v>6.5000000000000002E-2</v>
      </c>
      <c r="S101" s="26">
        <f>CHOOSE(MATCH(Assumptions!$D$14,Tables!$L$5:$L$7,0),Tables!$M$5,Tables!$M$6,Tables!$M$7)</f>
        <v>6.5000000000000002E-2</v>
      </c>
      <c r="T101" s="26">
        <f>CHOOSE(MATCH(Assumptions!$D$14,Tables!$L$5:$L$7,0),Tables!$M$5,Tables!$M$6,Tables!$M$7)</f>
        <v>6.5000000000000002E-2</v>
      </c>
      <c r="U101" s="26">
        <f>CHOOSE(MATCH(Assumptions!$D$14,Tables!$L$5:$L$7,0),Tables!$M$5,Tables!$M$6,Tables!$M$7)</f>
        <v>6.5000000000000002E-2</v>
      </c>
      <c r="V101" s="26">
        <f>CHOOSE(MATCH(Assumptions!$D$14,Tables!$L$5:$L$7,0),Tables!$M$5,Tables!$M$6,Tables!$M$7)</f>
        <v>6.5000000000000002E-2</v>
      </c>
      <c r="W101" s="26">
        <f>CHOOSE(MATCH(Assumptions!$D$14,Tables!$L$5:$L$7,0),Tables!$M$5,Tables!$M$6,Tables!$M$7)</f>
        <v>6.5000000000000002E-2</v>
      </c>
      <c r="X101" s="26">
        <f>CHOOSE(MATCH(Assumptions!$D$14,Tables!$L$5:$L$7,0),Tables!$M$5,Tables!$M$6,Tables!$M$7)</f>
        <v>6.5000000000000002E-2</v>
      </c>
      <c r="Y101" s="26">
        <f>CHOOSE(MATCH(Assumptions!$D$14,Tables!$L$5:$L$7,0),Tables!$M$5,Tables!$M$6,Tables!$M$7)</f>
        <v>6.5000000000000002E-2</v>
      </c>
      <c r="Z101" s="26">
        <f>CHOOSE(MATCH(Assumptions!$D$14,Tables!$L$5:$L$7,0),Tables!$M$5,Tables!$M$6,Tables!$M$7)</f>
        <v>6.5000000000000002E-2</v>
      </c>
      <c r="AA101" s="26">
        <f>CHOOSE(MATCH(Assumptions!$D$14,Tables!$L$5:$L$7,0),Tables!$M$5,Tables!$M$6,Tables!$M$7)</f>
        <v>6.5000000000000002E-2</v>
      </c>
      <c r="AB101" s="26">
        <f>CHOOSE(MATCH(Assumptions!$D$14,Tables!$L$5:$L$7,0),Tables!$M$5,Tables!$M$6,Tables!$M$7)</f>
        <v>6.5000000000000002E-2</v>
      </c>
      <c r="AC101" s="26">
        <f>CHOOSE(MATCH(Assumptions!$D$14,Tables!$L$5:$L$7,0),Tables!$M$5,Tables!$M$6,Tables!$M$7)</f>
        <v>6.5000000000000002E-2</v>
      </c>
      <c r="AD101" s="26">
        <f>CHOOSE(MATCH(Assumptions!$D$14,Tables!$L$5:$L$7,0),Tables!$M$5,Tables!$M$6,Tables!$M$7)</f>
        <v>6.5000000000000002E-2</v>
      </c>
      <c r="AE101" s="26">
        <f>CHOOSE(MATCH(Assumptions!$D$14,Tables!$L$5:$L$7,0),Tables!$M$5,Tables!$M$6,Tables!$M$7)</f>
        <v>6.5000000000000002E-2</v>
      </c>
      <c r="AF101" s="26">
        <f>CHOOSE(MATCH(Assumptions!$D$14,Tables!$L$5:$L$7,0),Tables!$M$5,Tables!$M$6,Tables!$M$7)</f>
        <v>6.5000000000000002E-2</v>
      </c>
      <c r="AG101" s="26">
        <f>CHOOSE(MATCH(Assumptions!$D$14,Tables!$L$5:$L$7,0),Tables!$M$5,Tables!$M$6,Tables!$M$7)</f>
        <v>6.5000000000000002E-2</v>
      </c>
      <c r="AH101" s="26">
        <f>CHOOSE(MATCH(Assumptions!$D$14,Tables!$L$5:$L$7,0),Tables!$M$5,Tables!$M$6,Tables!$M$7)</f>
        <v>6.5000000000000002E-2</v>
      </c>
      <c r="AI101" s="26">
        <f>CHOOSE(MATCH(Assumptions!$D$14,Tables!$L$5:$L$7,0),Tables!$M$5,Tables!$M$6,Tables!$M$7)</f>
        <v>6.5000000000000002E-2</v>
      </c>
      <c r="AJ101" s="26">
        <f>CHOOSE(MATCH(Assumptions!$D$14,Tables!$L$5:$L$7,0),Tables!$M$5,Tables!$M$6,Tables!$M$7)</f>
        <v>6.5000000000000002E-2</v>
      </c>
    </row>
    <row r="102" spans="1:36" ht="24" customHeight="1" x14ac:dyDescent="0.2">
      <c r="A102" s="1" t="s">
        <v>378</v>
      </c>
      <c r="B102" s="26">
        <f>IF(B$1&lt;=Tables!$O$11,Tables!$M$11,B$101)</f>
        <v>0</v>
      </c>
      <c r="C102" s="26">
        <f>IF(C$1&lt;=Tables!$O$11,Tables!$M$11,C$101)</f>
        <v>0</v>
      </c>
      <c r="D102" s="26">
        <f>IF(D$1&lt;=Tables!$O$11,Tables!$M$11,D$101)</f>
        <v>0</v>
      </c>
      <c r="E102" s="26">
        <f>IF(E$1&lt;=Tables!$O$11,Tables!$M$11,E$101)</f>
        <v>0</v>
      </c>
      <c r="F102" s="26">
        <f>IF(F$1&lt;=Tables!$O$11,Tables!$M$11,F$101)</f>
        <v>0</v>
      </c>
      <c r="G102" s="26">
        <f>IF(G$1&lt;=Tables!$O$11,Tables!$M$11,G$101)</f>
        <v>0</v>
      </c>
      <c r="H102" s="26">
        <f>IF(H$1&lt;=Tables!$O$11,Tables!$M$11,H$101)</f>
        <v>6.5000000000000002E-2</v>
      </c>
      <c r="I102" s="26">
        <f>IF(I$1&lt;=Tables!$O$11,Tables!$M$11,I$101)</f>
        <v>6.5000000000000002E-2</v>
      </c>
      <c r="J102" s="26">
        <f>IF(J$1&lt;=Tables!$O$11,Tables!$M$11,J$101)</f>
        <v>6.5000000000000002E-2</v>
      </c>
      <c r="K102" s="26">
        <f>IF(K$1&lt;=Tables!$O$11,Tables!$M$11,K$101)</f>
        <v>6.5000000000000002E-2</v>
      </c>
      <c r="L102" s="26">
        <f>IF(L$1&lt;=Tables!$O$11,Tables!$M$11,L$101)</f>
        <v>6.5000000000000002E-2</v>
      </c>
      <c r="M102" s="26">
        <f>IF(M$1&lt;=Tables!$O$11,Tables!$M$11,M$101)</f>
        <v>6.5000000000000002E-2</v>
      </c>
      <c r="N102" s="26">
        <f>IF(N$1&lt;=Tables!$O$11,Tables!$M$11,N$101)</f>
        <v>6.5000000000000002E-2</v>
      </c>
      <c r="O102" s="26">
        <f>IF(O$1&lt;=Tables!$O$11,Tables!$M$11,O$101)</f>
        <v>6.5000000000000002E-2</v>
      </c>
      <c r="P102" s="26">
        <f>IF(P$1&lt;=Tables!$O$11,Tables!$M$11,P$101)</f>
        <v>6.5000000000000002E-2</v>
      </c>
      <c r="Q102" s="26">
        <f>IF(Q$1&lt;=Tables!$O$11,Tables!$M$11,Q$101)</f>
        <v>6.5000000000000002E-2</v>
      </c>
      <c r="R102" s="26">
        <f>IF(R$1&lt;=Tables!$O$11,Tables!$M$11,R$101)</f>
        <v>6.5000000000000002E-2</v>
      </c>
      <c r="S102" s="26">
        <f>IF(S$1&lt;=Tables!$O$11,Tables!$M$11,S$101)</f>
        <v>6.5000000000000002E-2</v>
      </c>
      <c r="T102" s="26">
        <f>IF(T$1&lt;=Tables!$O$11,Tables!$M$11,T$101)</f>
        <v>6.5000000000000002E-2</v>
      </c>
      <c r="U102" s="26">
        <f>IF(U$1&lt;=Tables!$O$11,Tables!$M$11,U$101)</f>
        <v>6.5000000000000002E-2</v>
      </c>
      <c r="V102" s="26">
        <f>IF(V$1&lt;=Tables!$O$11,Tables!$M$11,V$101)</f>
        <v>6.5000000000000002E-2</v>
      </c>
      <c r="W102" s="26">
        <f>IF(W$1&lt;=Tables!$O$11,Tables!$M$11,W$101)</f>
        <v>6.5000000000000002E-2</v>
      </c>
      <c r="X102" s="26">
        <f>IF(X$1&lt;=Tables!$O$11,Tables!$M$11,X$101)</f>
        <v>6.5000000000000002E-2</v>
      </c>
      <c r="Y102" s="26">
        <f>IF(Y$1&lt;=Tables!$O$11,Tables!$M$11,Y$101)</f>
        <v>6.5000000000000002E-2</v>
      </c>
      <c r="Z102" s="26">
        <f>IF(Z$1&lt;=Tables!$O$11,Tables!$M$11,Z$101)</f>
        <v>6.5000000000000002E-2</v>
      </c>
      <c r="AA102" s="26">
        <f>IF(AA$1&lt;=Tables!$O$11,Tables!$M$11,AA$101)</f>
        <v>6.5000000000000002E-2</v>
      </c>
      <c r="AB102" s="26">
        <f>IF(AB$1&lt;=Tables!$O$11,Tables!$M$11,AB$101)</f>
        <v>6.5000000000000002E-2</v>
      </c>
      <c r="AC102" s="26">
        <f>IF(AC$1&lt;=Tables!$O$11,Tables!$M$11,AC$101)</f>
        <v>6.5000000000000002E-2</v>
      </c>
      <c r="AD102" s="26">
        <f>IF(AD$1&lt;=Tables!$O$11,Tables!$M$11,AD$101)</f>
        <v>6.5000000000000002E-2</v>
      </c>
      <c r="AE102" s="26">
        <f>IF(AE$1&lt;=Tables!$O$11,Tables!$M$11,AE$101)</f>
        <v>6.5000000000000002E-2</v>
      </c>
      <c r="AF102" s="26">
        <f>IF(AF$1&lt;=Tables!$O$11,Tables!$M$11,AF$101)</f>
        <v>6.5000000000000002E-2</v>
      </c>
      <c r="AG102" s="26">
        <f>IF(AG$1&lt;=Tables!$O$11,Tables!$M$11,AG$101)</f>
        <v>6.5000000000000002E-2</v>
      </c>
      <c r="AH102" s="26">
        <f>IF(AH$1&lt;=Tables!$O$11,Tables!$M$11,AH$101)</f>
        <v>6.5000000000000002E-2</v>
      </c>
      <c r="AI102" s="26">
        <f>IF(AI$1&lt;=Tables!$O$11,Tables!$M$11,AI$101)</f>
        <v>6.5000000000000002E-2</v>
      </c>
      <c r="AJ102" s="26">
        <f>IF(AJ$1&lt;=Tables!$O$11,Tables!$M$11,AJ$101)</f>
        <v>6.5000000000000002E-2</v>
      </c>
    </row>
    <row r="103" spans="1:36" ht="24" customHeight="1" x14ac:dyDescent="0.2">
      <c r="A103" s="1" t="s">
        <v>379</v>
      </c>
      <c r="B103" s="26">
        <f>IF(B$1=Tables!$O$12,Tables!$M$12,B$101)</f>
        <v>6.5000000000000002E-2</v>
      </c>
      <c r="C103" s="26">
        <f>IF(C$1=Tables!$O$12,Tables!$M$12,C$101)</f>
        <v>6.5000000000000002E-2</v>
      </c>
      <c r="D103" s="26">
        <f>IF(D$1=Tables!$O$12,Tables!$M$12,D$101)</f>
        <v>-0.3</v>
      </c>
      <c r="E103" s="26">
        <f>IF(E$1=Tables!$O$12,Tables!$M$12,E$101)</f>
        <v>6.5000000000000002E-2</v>
      </c>
      <c r="F103" s="26">
        <f>IF(F$1=Tables!$O$12,Tables!$M$12,F$101)</f>
        <v>6.5000000000000002E-2</v>
      </c>
      <c r="G103" s="26">
        <f>IF(G$1=Tables!$O$12,Tables!$M$12,G$101)</f>
        <v>6.5000000000000002E-2</v>
      </c>
      <c r="H103" s="26">
        <f>IF(H$1=Tables!$O$12,Tables!$M$12,H$101)</f>
        <v>6.5000000000000002E-2</v>
      </c>
      <c r="I103" s="26">
        <f>IF(I$1=Tables!$O$12,Tables!$M$12,I$101)</f>
        <v>6.5000000000000002E-2</v>
      </c>
      <c r="J103" s="26">
        <f>IF(J$1=Tables!$O$12,Tables!$M$12,J$101)</f>
        <v>6.5000000000000002E-2</v>
      </c>
      <c r="K103" s="26">
        <f>IF(K$1=Tables!$O$12,Tables!$M$12,K$101)</f>
        <v>6.5000000000000002E-2</v>
      </c>
      <c r="L103" s="26">
        <f>IF(L$1=Tables!$O$12,Tables!$M$12,L$101)</f>
        <v>6.5000000000000002E-2</v>
      </c>
      <c r="M103" s="26">
        <f>IF(M$1=Tables!$O$12,Tables!$M$12,M$101)</f>
        <v>6.5000000000000002E-2</v>
      </c>
      <c r="N103" s="26">
        <f>IF(N$1=Tables!$O$12,Tables!$M$12,N$101)</f>
        <v>6.5000000000000002E-2</v>
      </c>
      <c r="O103" s="26">
        <f>IF(O$1=Tables!$O$12,Tables!$M$12,O$101)</f>
        <v>6.5000000000000002E-2</v>
      </c>
      <c r="P103" s="26">
        <f>IF(P$1=Tables!$O$12,Tables!$M$12,P$101)</f>
        <v>6.5000000000000002E-2</v>
      </c>
      <c r="Q103" s="26">
        <f>IF(Q$1=Tables!$O$12,Tables!$M$12,Q$101)</f>
        <v>6.5000000000000002E-2</v>
      </c>
      <c r="R103" s="26">
        <f>IF(R$1=Tables!$O$12,Tables!$M$12,R$101)</f>
        <v>6.5000000000000002E-2</v>
      </c>
      <c r="S103" s="26">
        <f>IF(S$1=Tables!$O$12,Tables!$M$12,S$101)</f>
        <v>6.5000000000000002E-2</v>
      </c>
      <c r="T103" s="26">
        <f>IF(T$1=Tables!$O$12,Tables!$M$12,T$101)</f>
        <v>6.5000000000000002E-2</v>
      </c>
      <c r="U103" s="26">
        <f>IF(U$1=Tables!$O$12,Tables!$M$12,U$101)</f>
        <v>6.5000000000000002E-2</v>
      </c>
      <c r="V103" s="26">
        <f>IF(V$1=Tables!$O$12,Tables!$M$12,V$101)</f>
        <v>6.5000000000000002E-2</v>
      </c>
      <c r="W103" s="26">
        <f>IF(W$1=Tables!$O$12,Tables!$M$12,W$101)</f>
        <v>6.5000000000000002E-2</v>
      </c>
      <c r="X103" s="26">
        <f>IF(X$1=Tables!$O$12,Tables!$M$12,X$101)</f>
        <v>6.5000000000000002E-2</v>
      </c>
      <c r="Y103" s="26">
        <f>IF(Y$1=Tables!$O$12,Tables!$M$12,Y$101)</f>
        <v>6.5000000000000002E-2</v>
      </c>
      <c r="Z103" s="26">
        <f>IF(Z$1=Tables!$O$12,Tables!$M$12,Z$101)</f>
        <v>6.5000000000000002E-2</v>
      </c>
      <c r="AA103" s="26">
        <f>IF(AA$1=Tables!$O$12,Tables!$M$12,AA$101)</f>
        <v>6.5000000000000002E-2</v>
      </c>
      <c r="AB103" s="26">
        <f>IF(AB$1=Tables!$O$12,Tables!$M$12,AB$101)</f>
        <v>6.5000000000000002E-2</v>
      </c>
      <c r="AC103" s="26">
        <f>IF(AC$1=Tables!$O$12,Tables!$M$12,AC$101)</f>
        <v>6.5000000000000002E-2</v>
      </c>
      <c r="AD103" s="26">
        <f>IF(AD$1=Tables!$O$12,Tables!$M$12,AD$101)</f>
        <v>6.5000000000000002E-2</v>
      </c>
      <c r="AE103" s="26">
        <f>IF(AE$1=Tables!$O$12,Tables!$M$12,AE$101)</f>
        <v>6.5000000000000002E-2</v>
      </c>
      <c r="AF103" s="26">
        <f>IF(AF$1=Tables!$O$12,Tables!$M$12,AF$101)</f>
        <v>6.5000000000000002E-2</v>
      </c>
      <c r="AG103" s="26">
        <f>IF(AG$1=Tables!$O$12,Tables!$M$12,AG$101)</f>
        <v>6.5000000000000002E-2</v>
      </c>
      <c r="AH103" s="26">
        <f>IF(AH$1=Tables!$O$12,Tables!$M$12,AH$101)</f>
        <v>6.5000000000000002E-2</v>
      </c>
      <c r="AI103" s="26">
        <f>IF(AI$1=Tables!$O$12,Tables!$M$12,AI$101)</f>
        <v>6.5000000000000002E-2</v>
      </c>
      <c r="AJ103" s="26">
        <f>IF(AJ$1=Tables!$O$12,Tables!$M$12,AJ$101)</f>
        <v>6.5000000000000002E-2</v>
      </c>
    </row>
    <row r="104" spans="1:36" ht="24" customHeight="1" x14ac:dyDescent="0.2">
      <c r="A104" s="1" t="s">
        <v>247</v>
      </c>
      <c r="B104" s="26">
        <f>VLOOKUP(Tables!$M$13+Projections!B$1-1,Tables!$A$70:$G$182,7)</f>
        <v>8.2049999999999998E-2</v>
      </c>
      <c r="C104" s="26">
        <f>VLOOKUP(Tables!$M$13+Projections!C$1-1,Tables!$A$70:$G$182,7)</f>
        <v>0.12387730235617264</v>
      </c>
      <c r="D104" s="26">
        <f>VLOOKUP(Tables!$M$13+Projections!D$1-1,Tables!$A$70:$G$182,7)</f>
        <v>8.5847497894183694E-2</v>
      </c>
      <c r="E104" s="26">
        <f>VLOOKUP(Tables!$M$13+Projections!E$1-1,Tables!$A$70:$G$182,7)</f>
        <v>0.18865604878453729</v>
      </c>
      <c r="F104" s="26">
        <f>VLOOKUP(Tables!$M$13+Projections!F$1-1,Tables!$A$70:$G$182,7)</f>
        <v>-6.0058127312152168E-2</v>
      </c>
      <c r="G104" s="26">
        <f>VLOOKUP(Tables!$M$13+Projections!G$1-1,Tables!$A$70:$G$182,7)</f>
        <v>8.6403031937167876E-3</v>
      </c>
      <c r="H104" s="26">
        <f>VLOOKUP(Tables!$M$13+Projections!H$1-1,Tables!$A$70:$G$182,7)</f>
        <v>-3.9144458802373664E-3</v>
      </c>
      <c r="I104" s="26">
        <f>VLOOKUP(Tables!$M$13+Projections!I$1-1,Tables!$A$70:$G$182,7)</f>
        <v>7.4066364438713519E-2</v>
      </c>
      <c r="J104" s="26">
        <f>VLOOKUP(Tables!$M$13+Projections!J$1-1,Tables!$A$70:$G$182,7)</f>
        <v>0.146965879801044</v>
      </c>
      <c r="K104" s="26">
        <f>VLOOKUP(Tables!$M$13+Projections!K$1-1,Tables!$A$70:$G$182,7)</f>
        <v>0.10830934544616933</v>
      </c>
      <c r="L104" s="26">
        <f>VLOOKUP(Tables!$M$13+Projections!L$1-1,Tables!$A$70:$G$182,7)</f>
        <v>7.4302763441573383E-2</v>
      </c>
      <c r="M104" s="26">
        <f>VLOOKUP(Tables!$M$13+Projections!M$1-1,Tables!$A$70:$G$182,7)</f>
        <v>-3.4280760388363279E-2</v>
      </c>
      <c r="N104" s="26">
        <f>VLOOKUP(Tables!$M$13+Projections!N$1-1,Tables!$A$70:$G$182,7)</f>
        <v>0.29080918331678629</v>
      </c>
      <c r="O104" s="26">
        <f>VLOOKUP(Tables!$M$13+Projections!O$1-1,Tables!$A$70:$G$182,7)</f>
        <v>0.18532504434121988</v>
      </c>
      <c r="P104" s="26">
        <f>VLOOKUP(Tables!$M$13+Projections!P$1-1,Tables!$A$70:$G$182,7)</f>
        <v>1.5911933092476866E-2</v>
      </c>
      <c r="Q104" s="26">
        <f>VLOOKUP(Tables!$M$13+Projections!Q$1-1,Tables!$A$70:$G$182,7)</f>
        <v>-5.7822960392319107E-2</v>
      </c>
      <c r="R104" s="26">
        <f>VLOOKUP(Tables!$M$13+Projections!R$1-1,Tables!$A$70:$G$182,7)</f>
        <v>0.26276762347240518</v>
      </c>
      <c r="S104" s="26">
        <f>VLOOKUP(Tables!$M$13+Projections!S$1-1,Tables!$A$70:$G$182,7)</f>
        <v>4.2409747336381677E-2</v>
      </c>
      <c r="T104" s="26">
        <f>VLOOKUP(Tables!$M$13+Projections!T$1-1,Tables!$A$70:$G$182,7)</f>
        <v>-2.4391478113432521E-4</v>
      </c>
      <c r="U104" s="26">
        <f>VLOOKUP(Tables!$M$13+Projections!U$1-1,Tables!$A$70:$G$182,7)</f>
        <v>0.14550796583899722</v>
      </c>
      <c r="V104" s="26">
        <f>VLOOKUP(Tables!$M$13+Projections!V$1-1,Tables!$A$70:$G$182,7)</f>
        <v>-5.1854146581265741E-2</v>
      </c>
      <c r="W104" s="26">
        <f>VLOOKUP(Tables!$M$13+Projections!W$1-1,Tables!$A$70:$G$182,7)</f>
        <v>0.12708879884780294</v>
      </c>
      <c r="X104" s="26">
        <f>VLOOKUP(Tables!$M$13+Projections!X$1-1,Tables!$A$70:$G$182,7)</f>
        <v>0.1022910868735324</v>
      </c>
      <c r="Y104" s="26">
        <f>VLOOKUP(Tables!$M$13+Projections!Y$1-1,Tables!$A$70:$G$182,7)</f>
        <v>7.4071717359611072E-2</v>
      </c>
      <c r="Z104" s="26">
        <f>VLOOKUP(Tables!$M$13+Projections!Z$1-1,Tables!$A$70:$G$182,7)</f>
        <v>-4.1362216389405938E-2</v>
      </c>
      <c r="AA104" s="26">
        <f>VLOOKUP(Tables!$M$13+Projections!AA$1-1,Tables!$A$70:$G$182,7)</f>
        <v>0.1460211799806391</v>
      </c>
      <c r="AB104" s="26">
        <f>VLOOKUP(Tables!$M$13+Projections!AB$1-1,Tables!$A$70:$G$182,7)</f>
        <v>0.10462923721795933</v>
      </c>
      <c r="AC104" s="26">
        <f>VLOOKUP(Tables!$M$13+Projections!AC$1-1,Tables!$A$70:$G$182,7)</f>
        <v>-7.4759448415649396E-2</v>
      </c>
      <c r="AD104" s="26">
        <f>VLOOKUP(Tables!$M$13+Projections!AD$1-1,Tables!$A$70:$G$182,7)</f>
        <v>8.4181449895960134E-3</v>
      </c>
      <c r="AE104" s="26">
        <f>VLOOKUP(Tables!$M$13+Projections!AE$1-1,Tables!$A$70:$G$182,7)</f>
        <v>9.3346079650932307E-2</v>
      </c>
      <c r="AF104" s="26">
        <f>VLOOKUP(Tables!$M$13+Projections!AF$1-1,Tables!$A$70:$G$182,7)</f>
        <v>0.1222492280988203</v>
      </c>
      <c r="AG104" s="26">
        <f>VLOOKUP(Tables!$M$13+Projections!AG$1-1,Tables!$A$70:$G$182,7)</f>
        <v>-6.7214830860523891E-2</v>
      </c>
      <c r="AH104" s="26">
        <f>VLOOKUP(Tables!$M$13+Projections!AH$1-1,Tables!$A$70:$G$182,7)</f>
        <v>-0.14254481284845907</v>
      </c>
      <c r="AI104" s="26">
        <f>VLOOKUP(Tables!$M$13+Projections!AI$1-1,Tables!$A$70:$G$182,7)</f>
        <v>0.18716282405758849</v>
      </c>
      <c r="AJ104" s="26">
        <f>VLOOKUP(Tables!$M$13+Projections!AJ$1-1,Tables!$A$70:$G$182,7)</f>
        <v>0.15535231807748379</v>
      </c>
    </row>
    <row r="105" spans="1:36" ht="24" customHeight="1" x14ac:dyDescent="0.2"/>
    <row r="106" spans="1:36" ht="24" customHeight="1" x14ac:dyDescent="0.2"/>
    <row r="107" spans="1:36" ht="24" customHeight="1" x14ac:dyDescent="0.2"/>
  </sheetData>
  <sheetProtection algorithmName="SHA-512" hashValue="T/ynAAelq7Dpud2Bm2uTBSSUaKoLRvnNbI77pQMZJONqyW2SWPkXzBsZe6FoyGO3sT5p5FnL+e72yM/1W5cpAg==" saltValue="fEzh0D8HxjhCGHCzyaE7HQ==" spinCount="100000" sheet="1" objects="1" scenarios="1"/>
  <conditionalFormatting sqref="B24">
    <cfRule type="expression" dxfId="5" priority="2">
      <formula>$B$96&gt;0</formula>
    </cfRule>
  </conditionalFormatting>
  <conditionalFormatting sqref="B25">
    <cfRule type="expression" dxfId="4" priority="6">
      <formula>OR($B$90&gt;0,$D$95&gt;0)</formula>
    </cfRule>
  </conditionalFormatting>
  <conditionalFormatting sqref="B28">
    <cfRule type="expression" dxfId="3" priority="5">
      <formula>$B$92&gt;0</formula>
    </cfRule>
  </conditionalFormatting>
  <conditionalFormatting sqref="B48">
    <cfRule type="expression" dxfId="2" priority="1">
      <formula>$B$96&gt;0</formula>
    </cfRule>
  </conditionalFormatting>
  <conditionalFormatting sqref="B18:AJ18">
    <cfRule type="expression" dxfId="1" priority="20">
      <formula>AND($B$95&gt;0,$C$95&lt;C$4)</formula>
    </cfRule>
  </conditionalFormatting>
  <conditionalFormatting sqref="B20:AJ20">
    <cfRule type="expression" dxfId="0" priority="21">
      <formula>AND($B$91&gt;0,$C$91&gt;B$4)</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7" id="{29903C79-F478-4A78-AEF7-91689288DE48}">
            <xm:f>Assumptions!$B$3="S"</xm:f>
            <x14:dxf>
              <font>
                <color theme="0"/>
              </font>
            </x14:dxf>
          </x14:cfRule>
          <xm:sqref>A70:AJ71</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234FF-B9AF-4084-9210-9F1094119914}">
  <sheetPr codeName="Sheet17"/>
  <dimension ref="A1:AJ110"/>
  <sheetViews>
    <sheetView topLeftCell="A9" workbookViewId="0">
      <selection activeCell="B34" sqref="B34"/>
    </sheetView>
  </sheetViews>
  <sheetFormatPr defaultRowHeight="12.75" x14ac:dyDescent="0.2"/>
  <cols>
    <col min="1" max="1" width="36.7109375" customWidth="1"/>
    <col min="2" max="36" width="16.7109375" customWidth="1"/>
  </cols>
  <sheetData>
    <row r="1" spans="1:36" ht="36" customHeight="1" x14ac:dyDescent="0.2">
      <c r="A1" s="9" t="s">
        <v>77</v>
      </c>
      <c r="B1" s="35">
        <v>1</v>
      </c>
      <c r="C1" s="35">
        <f>B1+1</f>
        <v>2</v>
      </c>
      <c r="D1" s="35">
        <f t="shared" ref="D1:AJ1" si="0">C1+1</f>
        <v>3</v>
      </c>
      <c r="E1" s="35">
        <f t="shared" si="0"/>
        <v>4</v>
      </c>
      <c r="F1" s="35">
        <f t="shared" si="0"/>
        <v>5</v>
      </c>
      <c r="G1" s="35">
        <f t="shared" si="0"/>
        <v>6</v>
      </c>
      <c r="H1" s="35">
        <f t="shared" si="0"/>
        <v>7</v>
      </c>
      <c r="I1" s="35">
        <f t="shared" si="0"/>
        <v>8</v>
      </c>
      <c r="J1" s="35">
        <f t="shared" si="0"/>
        <v>9</v>
      </c>
      <c r="K1" s="35">
        <f t="shared" si="0"/>
        <v>10</v>
      </c>
      <c r="L1" s="35">
        <f t="shared" si="0"/>
        <v>11</v>
      </c>
      <c r="M1" s="35">
        <f t="shared" si="0"/>
        <v>12</v>
      </c>
      <c r="N1" s="35">
        <f t="shared" si="0"/>
        <v>13</v>
      </c>
      <c r="O1" s="35">
        <f t="shared" si="0"/>
        <v>14</v>
      </c>
      <c r="P1" s="35">
        <f t="shared" si="0"/>
        <v>15</v>
      </c>
      <c r="Q1" s="35">
        <f t="shared" si="0"/>
        <v>16</v>
      </c>
      <c r="R1" s="35">
        <f t="shared" si="0"/>
        <v>17</v>
      </c>
      <c r="S1" s="35">
        <f t="shared" si="0"/>
        <v>18</v>
      </c>
      <c r="T1" s="35">
        <f t="shared" si="0"/>
        <v>19</v>
      </c>
      <c r="U1" s="35">
        <f t="shared" si="0"/>
        <v>20</v>
      </c>
      <c r="V1" s="35">
        <f t="shared" si="0"/>
        <v>21</v>
      </c>
      <c r="W1" s="35">
        <f t="shared" si="0"/>
        <v>22</v>
      </c>
      <c r="X1" s="35">
        <f t="shared" si="0"/>
        <v>23</v>
      </c>
      <c r="Y1" s="35">
        <f t="shared" si="0"/>
        <v>24</v>
      </c>
      <c r="Z1" s="35">
        <f t="shared" si="0"/>
        <v>25</v>
      </c>
      <c r="AA1" s="35">
        <f t="shared" si="0"/>
        <v>26</v>
      </c>
      <c r="AB1" s="35">
        <f t="shared" si="0"/>
        <v>27</v>
      </c>
      <c r="AC1" s="35">
        <f t="shared" si="0"/>
        <v>28</v>
      </c>
      <c r="AD1" s="35">
        <f t="shared" si="0"/>
        <v>29</v>
      </c>
      <c r="AE1" s="35">
        <f t="shared" si="0"/>
        <v>30</v>
      </c>
      <c r="AF1" s="35">
        <f t="shared" si="0"/>
        <v>31</v>
      </c>
      <c r="AG1" s="35">
        <f t="shared" si="0"/>
        <v>32</v>
      </c>
      <c r="AH1" s="35">
        <f t="shared" si="0"/>
        <v>33</v>
      </c>
      <c r="AI1" s="35">
        <f t="shared" si="0"/>
        <v>34</v>
      </c>
      <c r="AJ1" s="35">
        <f t="shared" si="0"/>
        <v>35</v>
      </c>
    </row>
    <row r="2" spans="1:36" ht="36" customHeight="1" x14ac:dyDescent="0.2">
      <c r="A2" s="10"/>
      <c r="B2" s="11"/>
    </row>
    <row r="3" spans="1:36" ht="24" customHeight="1" x14ac:dyDescent="0.2">
      <c r="A3" s="43" t="s">
        <v>22</v>
      </c>
      <c r="B3" s="44" t="str">
        <f>TEXT(Projections!B4,"00")&amp;IF(Assumptions!$B$3="M","/"&amp;TEXT(Projections!B5,"00"),"")</f>
        <v>60/60</v>
      </c>
      <c r="C3" s="44" t="str">
        <f>TEXT(Projections!C4,"00")&amp;IF(Assumptions!$B$3="M","/"&amp;TEXT(Projections!C5,"00"),"")</f>
        <v>61/61</v>
      </c>
      <c r="D3" s="44" t="str">
        <f>TEXT(Projections!D4,"00")&amp;IF(Assumptions!$B$3="M","/"&amp;TEXT(Projections!D5,"00"),"")</f>
        <v>62/62</v>
      </c>
      <c r="E3" s="44" t="str">
        <f>TEXT(Projections!E4,"00")&amp;IF(Assumptions!$B$3="M","/"&amp;TEXT(Projections!E5,"00"),"")</f>
        <v>63/63</v>
      </c>
      <c r="F3" s="44" t="str">
        <f>TEXT(Projections!F4,"00")&amp;IF(Assumptions!$B$3="M","/"&amp;TEXT(Projections!F5,"00"),"")</f>
        <v>64/64</v>
      </c>
      <c r="G3" s="44" t="str">
        <f>TEXT(Projections!G4,"00")&amp;IF(Assumptions!$B$3="M","/"&amp;TEXT(Projections!G5,"00"),"")</f>
        <v>65/65</v>
      </c>
      <c r="H3" s="44" t="str">
        <f>TEXT(Projections!H4,"00")&amp;IF(Assumptions!$B$3="M","/"&amp;TEXT(Projections!H5,"00"),"")</f>
        <v>66/66</v>
      </c>
      <c r="I3" s="44" t="str">
        <f>TEXT(Projections!I4,"00")&amp;IF(Assumptions!$B$3="M","/"&amp;TEXT(Projections!I5,"00"),"")</f>
        <v>67/67</v>
      </c>
      <c r="J3" s="44" t="str">
        <f>TEXT(Projections!J4,"00")&amp;IF(Assumptions!$B$3="M","/"&amp;TEXT(Projections!J5,"00"),"")</f>
        <v>68/68</v>
      </c>
      <c r="K3" s="44" t="str">
        <f>TEXT(Projections!K4,"00")&amp;IF(Assumptions!$B$3="M","/"&amp;TEXT(Projections!K5,"00"),"")</f>
        <v>69/69</v>
      </c>
      <c r="L3" s="44" t="str">
        <f>TEXT(Projections!L4,"00")&amp;IF(Assumptions!$B$3="M","/"&amp;TEXT(Projections!L5,"00"),"")</f>
        <v>70/70</v>
      </c>
      <c r="M3" s="44" t="str">
        <f>TEXT(Projections!M4,"00")&amp;IF(Assumptions!$B$3="M","/"&amp;TEXT(Projections!M5,"00"),"")</f>
        <v>71/71</v>
      </c>
      <c r="N3" s="44" t="str">
        <f>TEXT(Projections!N4,"00")&amp;IF(Assumptions!$B$3="M","/"&amp;TEXT(Projections!N5,"00"),"")</f>
        <v>72/72</v>
      </c>
      <c r="O3" s="44" t="str">
        <f>TEXT(Projections!O4,"00")&amp;IF(Assumptions!$B$3="M","/"&amp;TEXT(Projections!O5,"00"),"")</f>
        <v>73/73</v>
      </c>
      <c r="P3" s="44" t="str">
        <f>TEXT(Projections!P4,"00")&amp;IF(Assumptions!$B$3="M","/"&amp;TEXT(Projections!P5,"00"),"")</f>
        <v>74/74</v>
      </c>
      <c r="Q3" s="44" t="str">
        <f>TEXT(Projections!Q4,"00")&amp;IF(Assumptions!$B$3="M","/"&amp;TEXT(Projections!Q5,"00"),"")</f>
        <v>75/75</v>
      </c>
      <c r="R3" s="44" t="str">
        <f>TEXT(Projections!R4,"00")&amp;IF(Assumptions!$B$3="M","/"&amp;TEXT(Projections!R5,"00"),"")</f>
        <v>76/76</v>
      </c>
      <c r="S3" s="44" t="str">
        <f>TEXT(Projections!S4,"00")&amp;IF(Assumptions!$B$3="M","/"&amp;TEXT(Projections!S5,"00"),"")</f>
        <v>77/77</v>
      </c>
      <c r="T3" s="44" t="str">
        <f>TEXT(Projections!T4,"00")&amp;IF(Assumptions!$B$3="M","/"&amp;TEXT(Projections!T5,"00"),"")</f>
        <v>78/78</v>
      </c>
      <c r="U3" s="44" t="str">
        <f>TEXT(Projections!U4,"00")&amp;IF(Assumptions!$B$3="M","/"&amp;TEXT(Projections!U5,"00"),"")</f>
        <v>79/79</v>
      </c>
      <c r="V3" s="44" t="str">
        <f>TEXT(Projections!V4,"00")&amp;IF(Assumptions!$B$3="M","/"&amp;TEXT(Projections!V5,"00"),"")</f>
        <v>80/80</v>
      </c>
      <c r="W3" s="44" t="str">
        <f>TEXT(Projections!W4,"00")&amp;IF(Assumptions!$B$3="M","/"&amp;TEXT(Projections!W5,"00"),"")</f>
        <v>81/81</v>
      </c>
      <c r="X3" s="44" t="str">
        <f>TEXT(Projections!X4,"00")&amp;IF(Assumptions!$B$3="M","/"&amp;TEXT(Projections!X5,"00"),"")</f>
        <v>82/82</v>
      </c>
      <c r="Y3" s="44" t="str">
        <f>TEXT(Projections!Y4,"00")&amp;IF(Assumptions!$B$3="M","/"&amp;TEXT(Projections!Y5,"00"),"")</f>
        <v>83/83</v>
      </c>
      <c r="Z3" s="44" t="str">
        <f>TEXT(Projections!Z4,"00")&amp;IF(Assumptions!$B$3="M","/"&amp;TEXT(Projections!Z5,"00"),"")</f>
        <v>84/84</v>
      </c>
      <c r="AA3" s="44" t="str">
        <f>TEXT(Projections!AA4,"00")&amp;IF(Assumptions!$B$3="M","/"&amp;TEXT(Projections!AA5,"00"),"")</f>
        <v>85/85</v>
      </c>
      <c r="AB3" s="44" t="str">
        <f>TEXT(Projections!AB4,"00")&amp;IF(Assumptions!$B$3="M","/"&amp;TEXT(Projections!AB5,"00"),"")</f>
        <v>86/86</v>
      </c>
      <c r="AC3" s="44" t="str">
        <f>TEXT(Projections!AC4,"00")&amp;IF(Assumptions!$B$3="M","/"&amp;TEXT(Projections!AC5,"00"),"")</f>
        <v>87/87</v>
      </c>
      <c r="AD3" s="44" t="str">
        <f>TEXT(Projections!AD4,"00")&amp;IF(Assumptions!$B$3="M","/"&amp;TEXT(Projections!AD5,"00"),"")</f>
        <v>88/88</v>
      </c>
      <c r="AE3" s="44" t="str">
        <f>TEXT(Projections!AE4,"00")&amp;IF(Assumptions!$B$3="M","/"&amp;TEXT(Projections!AE5,"00"),"")</f>
        <v>89/89</v>
      </c>
      <c r="AF3" s="44" t="str">
        <f>TEXT(Projections!AF4,"00")&amp;IF(Assumptions!$B$3="M","/"&amp;TEXT(Projections!AF5,"00"),"")</f>
        <v>90/90</v>
      </c>
      <c r="AG3" s="44" t="str">
        <f>TEXT(Projections!AG4,"00")&amp;IF(Assumptions!$B$3="M","/"&amp;TEXT(Projections!AG5,"00"),"")</f>
        <v>91/91</v>
      </c>
      <c r="AH3" s="44" t="str">
        <f>TEXT(Projections!AH4,"00")&amp;IF(Assumptions!$B$3="M","/"&amp;TEXT(Projections!AH5,"00"),"")</f>
        <v>92/92</v>
      </c>
      <c r="AI3" s="44" t="str">
        <f>TEXT(Projections!AI4,"00")&amp;IF(Assumptions!$B$3="M","/"&amp;TEXT(Projections!AI5,"00"),"")</f>
        <v>93/93</v>
      </c>
      <c r="AJ3" s="44" t="str">
        <f>TEXT(Projections!AJ4,"00")&amp;IF(Assumptions!$B$3="M","/"&amp;TEXT(Projections!AJ5,"00"),"")</f>
        <v>94/94</v>
      </c>
    </row>
    <row r="4" spans="1:36" ht="24" customHeight="1" x14ac:dyDescent="0.2">
      <c r="A4" s="43" t="s">
        <v>21</v>
      </c>
      <c r="B4" s="230">
        <f>Projections!B3</f>
        <v>2026</v>
      </c>
      <c r="C4" s="230">
        <f>Projections!C3</f>
        <v>2027</v>
      </c>
      <c r="D4" s="230">
        <f>Projections!D3</f>
        <v>2028</v>
      </c>
      <c r="E4" s="230">
        <f>Projections!E3</f>
        <v>2029</v>
      </c>
      <c r="F4" s="230">
        <f>Projections!F3</f>
        <v>2030</v>
      </c>
      <c r="G4" s="230">
        <f>Projections!G3</f>
        <v>2031</v>
      </c>
      <c r="H4" s="230">
        <f>Projections!H3</f>
        <v>2032</v>
      </c>
      <c r="I4" s="230">
        <f>Projections!I3</f>
        <v>2033</v>
      </c>
      <c r="J4" s="230">
        <f>Projections!J3</f>
        <v>2034</v>
      </c>
      <c r="K4" s="230">
        <f>Projections!K3</f>
        <v>2035</v>
      </c>
      <c r="L4" s="230">
        <f>Projections!L3</f>
        <v>2036</v>
      </c>
      <c r="M4" s="230">
        <f>Projections!M3</f>
        <v>2037</v>
      </c>
      <c r="N4" s="230">
        <f>Projections!N3</f>
        <v>2038</v>
      </c>
      <c r="O4" s="230">
        <f>Projections!O3</f>
        <v>2039</v>
      </c>
      <c r="P4" s="230">
        <f>Projections!P3</f>
        <v>2040</v>
      </c>
      <c r="Q4" s="230">
        <f>Projections!Q3</f>
        <v>2041</v>
      </c>
      <c r="R4" s="230">
        <f>Projections!R3</f>
        <v>2042</v>
      </c>
      <c r="S4" s="230">
        <f>Projections!S3</f>
        <v>2043</v>
      </c>
      <c r="T4" s="230">
        <f>Projections!T3</f>
        <v>2044</v>
      </c>
      <c r="U4" s="230">
        <f>Projections!U3</f>
        <v>2045</v>
      </c>
      <c r="V4" s="230">
        <f>Projections!V3</f>
        <v>2046</v>
      </c>
      <c r="W4" s="230">
        <f>Projections!W3</f>
        <v>2047</v>
      </c>
      <c r="X4" s="230">
        <f>Projections!X3</f>
        <v>2048</v>
      </c>
      <c r="Y4" s="230">
        <f>Projections!Y3</f>
        <v>2049</v>
      </c>
      <c r="Z4" s="230">
        <f>Projections!Z3</f>
        <v>2050</v>
      </c>
      <c r="AA4" s="230">
        <f>Projections!AA3</f>
        <v>2051</v>
      </c>
      <c r="AB4" s="230">
        <f>Projections!AB3</f>
        <v>2052</v>
      </c>
      <c r="AC4" s="230">
        <f>Projections!AC3</f>
        <v>2053</v>
      </c>
      <c r="AD4" s="230">
        <f>Projections!AD3</f>
        <v>2054</v>
      </c>
      <c r="AE4" s="230">
        <f>Projections!AE3</f>
        <v>2055</v>
      </c>
      <c r="AF4" s="230">
        <f>Projections!AF3</f>
        <v>2056</v>
      </c>
      <c r="AG4" s="230">
        <f>Projections!AG3</f>
        <v>2057</v>
      </c>
      <c r="AH4" s="230">
        <f>Projections!AH3</f>
        <v>2058</v>
      </c>
      <c r="AI4" s="230">
        <f>Projections!AI3</f>
        <v>2059</v>
      </c>
      <c r="AJ4" s="230">
        <f>Projections!AJ3</f>
        <v>2060</v>
      </c>
    </row>
    <row r="5" spans="1:36" ht="24" customHeight="1" x14ac:dyDescent="0.2">
      <c r="A5" s="43" t="s">
        <v>96</v>
      </c>
      <c r="B5" s="45">
        <f>Projections!B17</f>
        <v>0</v>
      </c>
      <c r="C5" s="45">
        <f>Projections!C17</f>
        <v>0</v>
      </c>
      <c r="D5" s="45">
        <f>Projections!D17</f>
        <v>0</v>
      </c>
      <c r="E5" s="45">
        <f>Projections!E17</f>
        <v>0</v>
      </c>
      <c r="F5" s="45">
        <f>Projections!F17</f>
        <v>0</v>
      </c>
      <c r="G5" s="45">
        <f>Projections!G17</f>
        <v>0</v>
      </c>
      <c r="H5" s="45">
        <f>Projections!H17</f>
        <v>0</v>
      </c>
      <c r="I5" s="45">
        <f>Projections!I17</f>
        <v>0</v>
      </c>
      <c r="J5" s="45">
        <f>Projections!J17</f>
        <v>0</v>
      </c>
      <c r="K5" s="45">
        <f>Projections!K17</f>
        <v>0</v>
      </c>
      <c r="L5" s="45">
        <f>Projections!L17</f>
        <v>0</v>
      </c>
      <c r="M5" s="45">
        <f>Projections!M17</f>
        <v>0</v>
      </c>
      <c r="N5" s="45">
        <f>Projections!N17</f>
        <v>0</v>
      </c>
      <c r="O5" s="45">
        <f>Projections!O17</f>
        <v>0</v>
      </c>
      <c r="P5" s="45">
        <f>Projections!P17</f>
        <v>0</v>
      </c>
      <c r="Q5" s="45">
        <f>Projections!Q17</f>
        <v>0</v>
      </c>
      <c r="R5" s="45">
        <f>Projections!R17</f>
        <v>0</v>
      </c>
      <c r="S5" s="45">
        <f>Projections!S17</f>
        <v>0</v>
      </c>
      <c r="T5" s="45">
        <f>Projections!T17</f>
        <v>0</v>
      </c>
      <c r="U5" s="45">
        <f>Projections!U17</f>
        <v>0</v>
      </c>
      <c r="V5" s="45">
        <f>Projections!V17</f>
        <v>0</v>
      </c>
      <c r="W5" s="45">
        <f>Projections!W17</f>
        <v>0</v>
      </c>
      <c r="X5" s="45">
        <f>Projections!X17</f>
        <v>0</v>
      </c>
      <c r="Y5" s="45">
        <f>Projections!Y17</f>
        <v>0</v>
      </c>
      <c r="Z5" s="45">
        <f>Projections!Z17</f>
        <v>0</v>
      </c>
      <c r="AA5" s="45">
        <f>Projections!AA17</f>
        <v>0</v>
      </c>
      <c r="AB5" s="45">
        <f>Projections!AB17</f>
        <v>0</v>
      </c>
      <c r="AC5" s="45">
        <f>Projections!AC17</f>
        <v>0</v>
      </c>
      <c r="AD5" s="45">
        <f>Projections!AD17</f>
        <v>0</v>
      </c>
      <c r="AE5" s="45">
        <f>Projections!AE17</f>
        <v>0</v>
      </c>
      <c r="AF5" s="45">
        <f>Projections!AF17</f>
        <v>0</v>
      </c>
      <c r="AG5" s="45">
        <f>Projections!AG17</f>
        <v>0</v>
      </c>
      <c r="AH5" s="45">
        <f>Projections!AH17</f>
        <v>0</v>
      </c>
      <c r="AI5" s="45">
        <f>Projections!AI17</f>
        <v>0</v>
      </c>
      <c r="AJ5" s="45">
        <f>Projections!AJ17</f>
        <v>0</v>
      </c>
    </row>
    <row r="6" spans="1:36" ht="24" customHeight="1" x14ac:dyDescent="0.2">
      <c r="A6" s="43" t="s">
        <v>23</v>
      </c>
      <c r="B6" s="45">
        <f>Projections!B19</f>
        <v>0</v>
      </c>
      <c r="C6" s="45">
        <f>Projections!C19</f>
        <v>0</v>
      </c>
      <c r="D6" s="45">
        <f>Projections!D19</f>
        <v>0</v>
      </c>
      <c r="E6" s="45">
        <f>Projections!E19</f>
        <v>0</v>
      </c>
      <c r="F6" s="45">
        <f>Projections!F19</f>
        <v>0</v>
      </c>
      <c r="G6" s="45">
        <f>Projections!G19</f>
        <v>0</v>
      </c>
      <c r="H6" s="45">
        <f>Projections!H19</f>
        <v>0</v>
      </c>
      <c r="I6" s="45">
        <f>Projections!I19</f>
        <v>0</v>
      </c>
      <c r="J6" s="45">
        <f>Projections!J19</f>
        <v>0</v>
      </c>
      <c r="K6" s="45">
        <f>Projections!K19</f>
        <v>0</v>
      </c>
      <c r="L6" s="45">
        <f>Projections!L19</f>
        <v>0</v>
      </c>
      <c r="M6" s="45">
        <f>Projections!M19</f>
        <v>0</v>
      </c>
      <c r="N6" s="45">
        <f>Projections!N19</f>
        <v>0</v>
      </c>
      <c r="O6" s="45">
        <f>Projections!O19</f>
        <v>0</v>
      </c>
      <c r="P6" s="45">
        <f>Projections!P19</f>
        <v>0</v>
      </c>
      <c r="Q6" s="45">
        <f>Projections!Q19</f>
        <v>0</v>
      </c>
      <c r="R6" s="45">
        <f>Projections!R19</f>
        <v>0</v>
      </c>
      <c r="S6" s="45">
        <f>Projections!S19</f>
        <v>0</v>
      </c>
      <c r="T6" s="45">
        <f>Projections!T19</f>
        <v>0</v>
      </c>
      <c r="U6" s="45">
        <f>Projections!U19</f>
        <v>0</v>
      </c>
      <c r="V6" s="45">
        <f>Projections!V19</f>
        <v>0</v>
      </c>
      <c r="W6" s="45">
        <f>Projections!W19</f>
        <v>0</v>
      </c>
      <c r="X6" s="45">
        <f>Projections!X19</f>
        <v>0</v>
      </c>
      <c r="Y6" s="45">
        <f>Projections!Y19</f>
        <v>0</v>
      </c>
      <c r="Z6" s="45">
        <f>Projections!Z19</f>
        <v>0</v>
      </c>
      <c r="AA6" s="45">
        <f>Projections!AA19</f>
        <v>0</v>
      </c>
      <c r="AB6" s="45">
        <f>Projections!AB19</f>
        <v>0</v>
      </c>
      <c r="AC6" s="45">
        <f>Projections!AC19</f>
        <v>0</v>
      </c>
      <c r="AD6" s="45">
        <f>Projections!AD19</f>
        <v>0</v>
      </c>
      <c r="AE6" s="45">
        <f>Projections!AE19</f>
        <v>0</v>
      </c>
      <c r="AF6" s="45">
        <f>Projections!AF19</f>
        <v>0</v>
      </c>
      <c r="AG6" s="45">
        <f>Projections!AG19</f>
        <v>0</v>
      </c>
      <c r="AH6" s="45">
        <f>Projections!AH19</f>
        <v>0</v>
      </c>
      <c r="AI6" s="45">
        <f>Projections!AI19</f>
        <v>0</v>
      </c>
      <c r="AJ6" s="45">
        <f>Projections!AJ19</f>
        <v>0</v>
      </c>
    </row>
    <row r="7" spans="1:36" ht="24" customHeight="1" x14ac:dyDescent="0.2">
      <c r="A7" s="43" t="s">
        <v>295</v>
      </c>
      <c r="B7" s="45">
        <f ca="1">SUM(Projections!B18,Projections!B20)</f>
        <v>0</v>
      </c>
      <c r="C7" s="45">
        <f ca="1">SUM(Projections!C18,Projections!C20)</f>
        <v>0</v>
      </c>
      <c r="D7" s="45">
        <f ca="1">SUM(Projections!D18,Projections!D20)</f>
        <v>0</v>
      </c>
      <c r="E7" s="45">
        <f ca="1">SUM(Projections!E18,Projections!E20)</f>
        <v>0</v>
      </c>
      <c r="F7" s="45">
        <f ca="1">SUM(Projections!F18,Projections!F20)</f>
        <v>0</v>
      </c>
      <c r="G7" s="45">
        <f ca="1">SUM(Projections!G18,Projections!G20)</f>
        <v>0</v>
      </c>
      <c r="H7" s="45">
        <f ca="1">SUM(Projections!H18,Projections!H20)</f>
        <v>0</v>
      </c>
      <c r="I7" s="45">
        <f ca="1">SUM(Projections!I18,Projections!I20)</f>
        <v>0</v>
      </c>
      <c r="J7" s="45">
        <f ca="1">SUM(Projections!J18,Projections!J20)</f>
        <v>0</v>
      </c>
      <c r="K7" s="45">
        <f ca="1">SUM(Projections!K18,Projections!K20)</f>
        <v>0</v>
      </c>
      <c r="L7" s="45">
        <f ca="1">SUM(Projections!L18,Projections!L20)</f>
        <v>0</v>
      </c>
      <c r="M7" s="45">
        <f ca="1">SUM(Projections!M18,Projections!M20)</f>
        <v>0</v>
      </c>
      <c r="N7" s="45">
        <f ca="1">SUM(Projections!N18,Projections!N20)</f>
        <v>0</v>
      </c>
      <c r="O7" s="45">
        <f ca="1">SUM(Projections!O18,Projections!O20)</f>
        <v>0</v>
      </c>
      <c r="P7" s="45">
        <f ca="1">SUM(Projections!P18,Projections!P20)</f>
        <v>0</v>
      </c>
      <c r="Q7" s="45">
        <f ca="1">SUM(Projections!Q18,Projections!Q20)</f>
        <v>0</v>
      </c>
      <c r="R7" s="45">
        <f ca="1">SUM(Projections!R18,Projections!R20)</f>
        <v>0</v>
      </c>
      <c r="S7" s="45">
        <f ca="1">SUM(Projections!S18,Projections!S20)</f>
        <v>0</v>
      </c>
      <c r="T7" s="45">
        <f ca="1">SUM(Projections!T18,Projections!T20)</f>
        <v>0</v>
      </c>
      <c r="U7" s="45">
        <f ca="1">SUM(Projections!U18,Projections!U20)</f>
        <v>0</v>
      </c>
      <c r="V7" s="45">
        <f ca="1">SUM(Projections!V18,Projections!V20)</f>
        <v>0</v>
      </c>
      <c r="W7" s="45">
        <f ca="1">SUM(Projections!W18,Projections!W20)</f>
        <v>0</v>
      </c>
      <c r="X7" s="45">
        <f ca="1">SUM(Projections!X18,Projections!X20)</f>
        <v>0</v>
      </c>
      <c r="Y7" s="45">
        <f ca="1">SUM(Projections!Y18,Projections!Y20)</f>
        <v>0</v>
      </c>
      <c r="Z7" s="45">
        <f ca="1">SUM(Projections!Z18,Projections!Z20)</f>
        <v>0</v>
      </c>
      <c r="AA7" s="45">
        <f ca="1">SUM(Projections!AA18,Projections!AA20)</f>
        <v>0</v>
      </c>
      <c r="AB7" s="45">
        <f ca="1">SUM(Projections!AB18,Projections!AB20)</f>
        <v>0</v>
      </c>
      <c r="AC7" s="45">
        <f ca="1">SUM(Projections!AC18,Projections!AC20)</f>
        <v>0</v>
      </c>
      <c r="AD7" s="45">
        <f ca="1">SUM(Projections!AD18,Projections!AD20)</f>
        <v>0</v>
      </c>
      <c r="AE7" s="45">
        <f ca="1">SUM(Projections!AE18,Projections!AE20)</f>
        <v>0</v>
      </c>
      <c r="AF7" s="45">
        <f ca="1">SUM(Projections!AF18,Projections!AF20)</f>
        <v>0</v>
      </c>
      <c r="AG7" s="45">
        <f ca="1">SUM(Projections!AG18,Projections!AG20)</f>
        <v>0</v>
      </c>
      <c r="AH7" s="45">
        <f ca="1">SUM(Projections!AH18,Projections!AH20)</f>
        <v>0</v>
      </c>
      <c r="AI7" s="45">
        <f ca="1">SUM(Projections!AI18,Projections!AI20)</f>
        <v>0</v>
      </c>
      <c r="AJ7" s="45">
        <f ca="1">SUM(Projections!AJ18,Projections!AJ20)</f>
        <v>0</v>
      </c>
    </row>
    <row r="8" spans="1:36" ht="24" customHeight="1" x14ac:dyDescent="0.2">
      <c r="A8" s="43" t="s">
        <v>312</v>
      </c>
      <c r="B8" s="45">
        <f ca="1">SUM(B5:B7)</f>
        <v>0</v>
      </c>
      <c r="C8" s="45">
        <f t="shared" ref="C8:AJ8" ca="1" si="1">SUM(C5:C7)</f>
        <v>0</v>
      </c>
      <c r="D8" s="45">
        <f t="shared" ca="1" si="1"/>
        <v>0</v>
      </c>
      <c r="E8" s="45">
        <f t="shared" ca="1" si="1"/>
        <v>0</v>
      </c>
      <c r="F8" s="45">
        <f t="shared" ca="1" si="1"/>
        <v>0</v>
      </c>
      <c r="G8" s="45">
        <f t="shared" ca="1" si="1"/>
        <v>0</v>
      </c>
      <c r="H8" s="45">
        <f t="shared" ca="1" si="1"/>
        <v>0</v>
      </c>
      <c r="I8" s="45">
        <f t="shared" ca="1" si="1"/>
        <v>0</v>
      </c>
      <c r="J8" s="45">
        <f t="shared" ca="1" si="1"/>
        <v>0</v>
      </c>
      <c r="K8" s="45">
        <f t="shared" ca="1" si="1"/>
        <v>0</v>
      </c>
      <c r="L8" s="45">
        <f t="shared" ca="1" si="1"/>
        <v>0</v>
      </c>
      <c r="M8" s="45">
        <f t="shared" ca="1" si="1"/>
        <v>0</v>
      </c>
      <c r="N8" s="45">
        <f t="shared" ca="1" si="1"/>
        <v>0</v>
      </c>
      <c r="O8" s="45">
        <f t="shared" ca="1" si="1"/>
        <v>0</v>
      </c>
      <c r="P8" s="45">
        <f t="shared" ca="1" si="1"/>
        <v>0</v>
      </c>
      <c r="Q8" s="45">
        <f t="shared" ca="1" si="1"/>
        <v>0</v>
      </c>
      <c r="R8" s="45">
        <f t="shared" ca="1" si="1"/>
        <v>0</v>
      </c>
      <c r="S8" s="45">
        <f t="shared" ca="1" si="1"/>
        <v>0</v>
      </c>
      <c r="T8" s="45">
        <f t="shared" ca="1" si="1"/>
        <v>0</v>
      </c>
      <c r="U8" s="45">
        <f t="shared" ca="1" si="1"/>
        <v>0</v>
      </c>
      <c r="V8" s="45">
        <f t="shared" ca="1" si="1"/>
        <v>0</v>
      </c>
      <c r="W8" s="45">
        <f t="shared" ca="1" si="1"/>
        <v>0</v>
      </c>
      <c r="X8" s="45">
        <f t="shared" ca="1" si="1"/>
        <v>0</v>
      </c>
      <c r="Y8" s="45">
        <f t="shared" ca="1" si="1"/>
        <v>0</v>
      </c>
      <c r="Z8" s="45">
        <f t="shared" ca="1" si="1"/>
        <v>0</v>
      </c>
      <c r="AA8" s="45">
        <f t="shared" ca="1" si="1"/>
        <v>0</v>
      </c>
      <c r="AB8" s="45">
        <f t="shared" ca="1" si="1"/>
        <v>0</v>
      </c>
      <c r="AC8" s="45">
        <f t="shared" ca="1" si="1"/>
        <v>0</v>
      </c>
      <c r="AD8" s="45">
        <f t="shared" ca="1" si="1"/>
        <v>0</v>
      </c>
      <c r="AE8" s="45">
        <f t="shared" ca="1" si="1"/>
        <v>0</v>
      </c>
      <c r="AF8" s="45">
        <f t="shared" ca="1" si="1"/>
        <v>0</v>
      </c>
      <c r="AG8" s="45">
        <f t="shared" ca="1" si="1"/>
        <v>0</v>
      </c>
      <c r="AH8" s="45">
        <f t="shared" ca="1" si="1"/>
        <v>0</v>
      </c>
      <c r="AI8" s="45">
        <f t="shared" ca="1" si="1"/>
        <v>0</v>
      </c>
      <c r="AJ8" s="45">
        <f t="shared" ca="1" si="1"/>
        <v>0</v>
      </c>
    </row>
    <row r="9" spans="1:36" ht="24" customHeight="1" x14ac:dyDescent="0.2">
      <c r="A9" s="43" t="s">
        <v>169</v>
      </c>
      <c r="B9" s="45">
        <f>Projections!B27</f>
        <v>36733</v>
      </c>
      <c r="C9" s="45">
        <f ca="1">Projections!C27</f>
        <v>38223.984999999993</v>
      </c>
      <c r="D9" s="45">
        <f ca="1">Projections!D27</f>
        <v>39778.014324999996</v>
      </c>
      <c r="E9" s="45">
        <f ca="1">Projections!E27</f>
        <v>41397.82371962499</v>
      </c>
      <c r="F9" s="45">
        <f ca="1">Projections!F27</f>
        <v>43086.269505758108</v>
      </c>
      <c r="G9" s="45">
        <f ca="1">Projections!G27</f>
        <v>26849.099019843306</v>
      </c>
      <c r="H9" s="45">
        <f ca="1">Projections!H27</f>
        <v>27874.020345247976</v>
      </c>
      <c r="I9" s="45">
        <f ca="1">Projections!I27</f>
        <v>28940.480927033641</v>
      </c>
      <c r="J9" s="45">
        <f ca="1">Projections!J27</f>
        <v>30050.235476655904</v>
      </c>
      <c r="K9" s="45">
        <f ca="1">Projections!K27</f>
        <v>31205.11480370881</v>
      </c>
      <c r="L9" s="45">
        <f ca="1">Projections!L27</f>
        <v>32407.029168744182</v>
      </c>
      <c r="M9" s="45">
        <f ca="1">Projections!M27</f>
        <v>33657.971785177855</v>
      </c>
      <c r="N9" s="45">
        <f ca="1">Projections!N27</f>
        <v>34960.022476947051</v>
      </c>
      <c r="O9" s="45">
        <f ca="1">Projections!O27</f>
        <v>36315.351498881762</v>
      </c>
      <c r="P9" s="45">
        <f ca="1">Projections!P27</f>
        <v>37726.223527065347</v>
      </c>
      <c r="Q9" s="45">
        <f ca="1">Projections!Q27</f>
        <v>39195.001826785519</v>
      </c>
      <c r="R9" s="45">
        <f ca="1">Projections!R27</f>
        <v>40724.152606018179</v>
      </c>
      <c r="S9" s="45">
        <f ca="1">Projections!S27</f>
        <v>42316.249562741978</v>
      </c>
      <c r="T9" s="45">
        <f ca="1">Projections!T27</f>
        <v>43721.313922486224</v>
      </c>
      <c r="U9" s="45">
        <f ca="1">Projections!U27</f>
        <v>45187.359927501348</v>
      </c>
      <c r="V9" s="45">
        <f ca="1">Projections!V27</f>
        <v>46717.121643695427</v>
      </c>
      <c r="W9" s="45">
        <f ca="1">Projections!W27</f>
        <v>48313.456124455777</v>
      </c>
      <c r="X9" s="45">
        <f ca="1">Projections!X27</f>
        <v>49979.348944880941</v>
      </c>
      <c r="Y9" s="45">
        <f ca="1">Projections!Y27</f>
        <v>51717.919985051936</v>
      </c>
      <c r="Z9" s="45">
        <f ca="1">Projections!Z27</f>
        <v>53532.429473550052</v>
      </c>
      <c r="AA9" s="45">
        <f ca="1">Projections!AA27</f>
        <v>55426.284302931854</v>
      </c>
      <c r="AB9" s="45">
        <f ca="1">Projections!AB27</f>
        <v>57403.044629399672</v>
      </c>
      <c r="AC9" s="45">
        <f ca="1">Projections!AC27</f>
        <v>59466.430769456274</v>
      </c>
      <c r="AD9" s="45">
        <f ca="1">Projections!AD27</f>
        <v>61620.330406908266</v>
      </c>
      <c r="AE9" s="45">
        <f ca="1">Projections!AE27</f>
        <v>63868.806124183284</v>
      </c>
      <c r="AF9" s="45">
        <f ca="1">Projections!AF27</f>
        <v>66216.103272556051</v>
      </c>
      <c r="AG9" s="45">
        <f ca="1">Projections!AG27</f>
        <v>68666.65819653307</v>
      </c>
      <c r="AH9" s="45">
        <f ca="1">Projections!AH27</f>
        <v>71225.106828334276</v>
      </c>
      <c r="AI9" s="45">
        <f ca="1">Projections!AI27</f>
        <v>73896.293669124861</v>
      </c>
      <c r="AJ9" s="45">
        <f ca="1">Projections!AJ27</f>
        <v>76685.28117440184</v>
      </c>
    </row>
    <row r="10" spans="1:36" ht="24" customHeight="1" x14ac:dyDescent="0.2">
      <c r="A10" s="43" t="s">
        <v>29</v>
      </c>
      <c r="B10" s="45">
        <f>-Projections!B13</f>
        <v>0</v>
      </c>
      <c r="C10" s="45">
        <f>-Projections!C13</f>
        <v>0</v>
      </c>
      <c r="D10" s="45">
        <f>-Projections!D13</f>
        <v>0</v>
      </c>
      <c r="E10" s="45">
        <f>-Projections!E13</f>
        <v>0</v>
      </c>
      <c r="F10" s="45">
        <f>-Projections!F13</f>
        <v>0</v>
      </c>
      <c r="G10" s="45">
        <f>-Projections!G13</f>
        <v>0</v>
      </c>
      <c r="H10" s="45">
        <f>-Projections!H13</f>
        <v>0</v>
      </c>
      <c r="I10" s="45">
        <f>-Projections!I13</f>
        <v>0</v>
      </c>
      <c r="J10" s="45">
        <f>-Projections!J13</f>
        <v>0</v>
      </c>
      <c r="K10" s="45">
        <f>-Projections!K13</f>
        <v>0</v>
      </c>
      <c r="L10" s="45">
        <f>-Projections!L13</f>
        <v>0</v>
      </c>
      <c r="M10" s="45">
        <f>-Projections!M13</f>
        <v>0</v>
      </c>
      <c r="N10" s="45">
        <f>-Projections!N13</f>
        <v>0</v>
      </c>
      <c r="O10" s="45">
        <f>-Projections!O13</f>
        <v>0</v>
      </c>
      <c r="P10" s="45">
        <f>-Projections!P13</f>
        <v>0</v>
      </c>
      <c r="Q10" s="45">
        <f>-Projections!Q13</f>
        <v>0</v>
      </c>
      <c r="R10" s="45">
        <f>-Projections!R13</f>
        <v>0</v>
      </c>
      <c r="S10" s="45">
        <f>-Projections!S13</f>
        <v>0</v>
      </c>
      <c r="T10" s="45">
        <f>-Projections!T13</f>
        <v>0</v>
      </c>
      <c r="U10" s="45">
        <f>-Projections!U13</f>
        <v>0</v>
      </c>
      <c r="V10" s="45">
        <f>-Projections!V13</f>
        <v>0</v>
      </c>
      <c r="W10" s="45">
        <f>-Projections!W13</f>
        <v>0</v>
      </c>
      <c r="X10" s="45">
        <f>-Projections!X13</f>
        <v>0</v>
      </c>
      <c r="Y10" s="45">
        <f>-Projections!Y13</f>
        <v>0</v>
      </c>
      <c r="Z10" s="45">
        <f>-Projections!Z13</f>
        <v>0</v>
      </c>
      <c r="AA10" s="45">
        <f>-Projections!AA13</f>
        <v>0</v>
      </c>
      <c r="AB10" s="45">
        <f>-Projections!AB13</f>
        <v>0</v>
      </c>
      <c r="AC10" s="45">
        <f>-Projections!AC13</f>
        <v>0</v>
      </c>
      <c r="AD10" s="45">
        <f>-Projections!AD13</f>
        <v>0</v>
      </c>
      <c r="AE10" s="45">
        <f>-Projections!AE13</f>
        <v>0</v>
      </c>
      <c r="AF10" s="45">
        <f>-Projections!AF13</f>
        <v>0</v>
      </c>
      <c r="AG10" s="45">
        <f>-Projections!AG13</f>
        <v>0</v>
      </c>
      <c r="AH10" s="45">
        <f>-Projections!AH13</f>
        <v>0</v>
      </c>
      <c r="AI10" s="45">
        <f>-Projections!AI13</f>
        <v>0</v>
      </c>
      <c r="AJ10" s="45">
        <f>-Projections!AJ13</f>
        <v>0</v>
      </c>
    </row>
    <row r="11" spans="1:36" ht="24" customHeight="1" x14ac:dyDescent="0.2">
      <c r="A11" s="43" t="s">
        <v>141</v>
      </c>
      <c r="B11" s="45">
        <f>Projections!B14</f>
        <v>0</v>
      </c>
      <c r="C11" s="45">
        <f>Projections!C14</f>
        <v>0</v>
      </c>
      <c r="D11" s="45">
        <f>Projections!D14</f>
        <v>0</v>
      </c>
      <c r="E11" s="45">
        <f>Projections!E14</f>
        <v>0</v>
      </c>
      <c r="F11" s="45">
        <f>Projections!F14</f>
        <v>0</v>
      </c>
      <c r="G11" s="45">
        <f>Projections!G14</f>
        <v>0</v>
      </c>
      <c r="H11" s="45">
        <f>Projections!H14</f>
        <v>0</v>
      </c>
      <c r="I11" s="45">
        <f>Projections!I14</f>
        <v>0</v>
      </c>
      <c r="J11" s="45">
        <f>Projections!J14</f>
        <v>0</v>
      </c>
      <c r="K11" s="45">
        <f>Projections!K14</f>
        <v>0</v>
      </c>
      <c r="L11" s="45">
        <f>Projections!L14</f>
        <v>0</v>
      </c>
      <c r="M11" s="45">
        <f>Projections!M14</f>
        <v>0</v>
      </c>
      <c r="N11" s="45">
        <f>Projections!N14</f>
        <v>0</v>
      </c>
      <c r="O11" s="45">
        <f>Projections!O14</f>
        <v>0</v>
      </c>
      <c r="P11" s="45">
        <f>Projections!P14</f>
        <v>0</v>
      </c>
      <c r="Q11" s="45">
        <f>Projections!Q14</f>
        <v>0</v>
      </c>
      <c r="R11" s="45">
        <f>Projections!R14</f>
        <v>0</v>
      </c>
      <c r="S11" s="45">
        <f>Projections!S14</f>
        <v>0</v>
      </c>
      <c r="T11" s="45">
        <f>Projections!T14</f>
        <v>0</v>
      </c>
      <c r="U11" s="45">
        <f>Projections!U14</f>
        <v>0</v>
      </c>
      <c r="V11" s="45">
        <f>Projections!V14</f>
        <v>0</v>
      </c>
      <c r="W11" s="45">
        <f>Projections!W14</f>
        <v>0</v>
      </c>
      <c r="X11" s="45">
        <f>Projections!X14</f>
        <v>0</v>
      </c>
      <c r="Y11" s="45">
        <f>Projections!Y14</f>
        <v>0</v>
      </c>
      <c r="Z11" s="45">
        <f>Projections!Z14</f>
        <v>0</v>
      </c>
      <c r="AA11" s="45">
        <f>Projections!AA14</f>
        <v>0</v>
      </c>
      <c r="AB11" s="45">
        <f>Projections!AB14</f>
        <v>0</v>
      </c>
      <c r="AC11" s="45">
        <f>Projections!AC14</f>
        <v>0</v>
      </c>
      <c r="AD11" s="45">
        <f>Projections!AD14</f>
        <v>0</v>
      </c>
      <c r="AE11" s="45">
        <f>Projections!AE14</f>
        <v>0</v>
      </c>
      <c r="AF11" s="45">
        <f>Projections!AF14</f>
        <v>0</v>
      </c>
      <c r="AG11" s="45">
        <f>Projections!AG14</f>
        <v>0</v>
      </c>
      <c r="AH11" s="45">
        <f>Projections!AH14</f>
        <v>0</v>
      </c>
      <c r="AI11" s="45">
        <f>Projections!AI14</f>
        <v>0</v>
      </c>
      <c r="AJ11" s="45">
        <f>Projections!AJ14</f>
        <v>0</v>
      </c>
    </row>
    <row r="12" spans="1:36" ht="24" customHeight="1" x14ac:dyDescent="0.2">
      <c r="A12" s="43" t="s">
        <v>168</v>
      </c>
      <c r="B12" s="45">
        <f>ROUND(Projections!B39+Projections!B64,0)</f>
        <v>0</v>
      </c>
      <c r="C12" s="45">
        <f>ROUND(Projections!C39+Projections!C64,0)</f>
        <v>0</v>
      </c>
      <c r="D12" s="45">
        <f>ROUND(Projections!D39+Projections!D64,0)</f>
        <v>0</v>
      </c>
      <c r="E12" s="45">
        <f>ROUND(Projections!E39+Projections!E64,0)</f>
        <v>0</v>
      </c>
      <c r="F12" s="45">
        <f>ROUND(Projections!F39+Projections!F64,0)</f>
        <v>0</v>
      </c>
      <c r="G12" s="45">
        <f>ROUND(Projections!G39+Projections!G64,0)</f>
        <v>0</v>
      </c>
      <c r="H12" s="45">
        <f>ROUND(Projections!H39+Projections!H64,0)</f>
        <v>0</v>
      </c>
      <c r="I12" s="45">
        <f>ROUND(Projections!I39+Projections!I64,0)</f>
        <v>0</v>
      </c>
      <c r="J12" s="45">
        <f>ROUND(Projections!J39+Projections!J64,0)</f>
        <v>0</v>
      </c>
      <c r="K12" s="45">
        <f>ROUND(Projections!K39+Projections!K64,0)</f>
        <v>0</v>
      </c>
      <c r="L12" s="45">
        <f>ROUND(Projections!L39+Projections!L64,0)</f>
        <v>0</v>
      </c>
      <c r="M12" s="45">
        <f>ROUND(Projections!M39+Projections!M64,0)</f>
        <v>0</v>
      </c>
      <c r="N12" s="45">
        <f>ROUND(Projections!N39+Projections!N64,0)</f>
        <v>0</v>
      </c>
      <c r="O12" s="45">
        <f>ROUND(Projections!O39+Projections!O64,0)</f>
        <v>0</v>
      </c>
      <c r="P12" s="45">
        <f>ROUND(Projections!P39+Projections!P64,0)</f>
        <v>0</v>
      </c>
      <c r="Q12" s="45">
        <f>ROUND(Projections!Q39+Projections!Q64,0)</f>
        <v>0</v>
      </c>
      <c r="R12" s="45">
        <f>ROUND(Projections!R39+Projections!R64,0)</f>
        <v>0</v>
      </c>
      <c r="S12" s="45">
        <f>ROUND(Projections!S39+Projections!S64,0)</f>
        <v>0</v>
      </c>
      <c r="T12" s="45">
        <f>ROUND(Projections!T39+Projections!T64,0)</f>
        <v>0</v>
      </c>
      <c r="U12" s="45">
        <f>ROUND(Projections!U39+Projections!U64,0)</f>
        <v>0</v>
      </c>
      <c r="V12" s="45">
        <f>ROUND(Projections!V39+Projections!V64,0)</f>
        <v>0</v>
      </c>
      <c r="W12" s="45">
        <f>ROUND(Projections!W39+Projections!W64,0)</f>
        <v>0</v>
      </c>
      <c r="X12" s="45">
        <f>ROUND(Projections!X39+Projections!X64,0)</f>
        <v>0</v>
      </c>
      <c r="Y12" s="45">
        <f>ROUND(Projections!Y39+Projections!Y64,0)</f>
        <v>0</v>
      </c>
      <c r="Z12" s="45">
        <f>ROUND(Projections!Z39+Projections!Z64,0)</f>
        <v>0</v>
      </c>
      <c r="AA12" s="45">
        <f>ROUND(Projections!AA39+Projections!AA64,0)</f>
        <v>0</v>
      </c>
      <c r="AB12" s="45">
        <f>ROUND(Projections!AB39+Projections!AB64,0)</f>
        <v>0</v>
      </c>
      <c r="AC12" s="45">
        <f>ROUND(Projections!AC39+Projections!AC64,0)</f>
        <v>0</v>
      </c>
      <c r="AD12" s="45">
        <f>ROUND(Projections!AD39+Projections!AD64,0)</f>
        <v>0</v>
      </c>
      <c r="AE12" s="45">
        <f>ROUND(Projections!AE39+Projections!AE64,0)</f>
        <v>0</v>
      </c>
      <c r="AF12" s="45">
        <f>ROUND(Projections!AF39+Projections!AF64,0)</f>
        <v>0</v>
      </c>
      <c r="AG12" s="45">
        <f>ROUND(Projections!AG39+Projections!AG64,0)</f>
        <v>0</v>
      </c>
      <c r="AH12" s="45">
        <f>ROUND(Projections!AH39+Projections!AH64,0)</f>
        <v>0</v>
      </c>
      <c r="AI12" s="45">
        <f>ROUND(Projections!AI39+Projections!AI64,0)</f>
        <v>0</v>
      </c>
      <c r="AJ12" s="45">
        <f>ROUND(Projections!AJ39+Projections!AJ64,0)</f>
        <v>0</v>
      </c>
    </row>
    <row r="13" spans="1:36" ht="24" customHeight="1" x14ac:dyDescent="0.2">
      <c r="A13" s="43" t="s">
        <v>25</v>
      </c>
      <c r="B13" s="45">
        <f>MAX(0,B15-B14)</f>
        <v>0</v>
      </c>
      <c r="C13" s="45">
        <f t="shared" ref="C13:AJ13" si="2">MAX(0,C15-C14)</f>
        <v>0</v>
      </c>
      <c r="D13" s="45">
        <f t="shared" si="2"/>
        <v>0</v>
      </c>
      <c r="E13" s="45">
        <f t="shared" si="2"/>
        <v>0</v>
      </c>
      <c r="F13" s="45">
        <f t="shared" si="2"/>
        <v>0</v>
      </c>
      <c r="G13" s="45">
        <f t="shared" si="2"/>
        <v>0</v>
      </c>
      <c r="H13" s="45">
        <f t="shared" si="2"/>
        <v>0</v>
      </c>
      <c r="I13" s="45">
        <f t="shared" si="2"/>
        <v>0</v>
      </c>
      <c r="J13" s="45">
        <f t="shared" si="2"/>
        <v>0</v>
      </c>
      <c r="K13" s="45">
        <f t="shared" si="2"/>
        <v>0</v>
      </c>
      <c r="L13" s="45">
        <f t="shared" si="2"/>
        <v>0</v>
      </c>
      <c r="M13" s="45">
        <f t="shared" si="2"/>
        <v>0</v>
      </c>
      <c r="N13" s="45">
        <f t="shared" si="2"/>
        <v>0</v>
      </c>
      <c r="O13" s="45">
        <f t="shared" si="2"/>
        <v>0</v>
      </c>
      <c r="P13" s="45">
        <f t="shared" si="2"/>
        <v>0</v>
      </c>
      <c r="Q13" s="45">
        <f t="shared" si="2"/>
        <v>0</v>
      </c>
      <c r="R13" s="45">
        <f t="shared" si="2"/>
        <v>0</v>
      </c>
      <c r="S13" s="45">
        <f t="shared" si="2"/>
        <v>0</v>
      </c>
      <c r="T13" s="45">
        <f t="shared" si="2"/>
        <v>0</v>
      </c>
      <c r="U13" s="45">
        <f t="shared" si="2"/>
        <v>0</v>
      </c>
      <c r="V13" s="45">
        <f t="shared" si="2"/>
        <v>0</v>
      </c>
      <c r="W13" s="45">
        <f t="shared" si="2"/>
        <v>0</v>
      </c>
      <c r="X13" s="45">
        <f t="shared" si="2"/>
        <v>0</v>
      </c>
      <c r="Y13" s="45">
        <f t="shared" si="2"/>
        <v>0</v>
      </c>
      <c r="Z13" s="45">
        <f t="shared" si="2"/>
        <v>0</v>
      </c>
      <c r="AA13" s="45">
        <f t="shared" si="2"/>
        <v>0</v>
      </c>
      <c r="AB13" s="45">
        <f t="shared" si="2"/>
        <v>0</v>
      </c>
      <c r="AC13" s="45">
        <f t="shared" si="2"/>
        <v>0</v>
      </c>
      <c r="AD13" s="45">
        <f t="shared" si="2"/>
        <v>0</v>
      </c>
      <c r="AE13" s="45">
        <f t="shared" si="2"/>
        <v>0</v>
      </c>
      <c r="AF13" s="45">
        <f t="shared" si="2"/>
        <v>0</v>
      </c>
      <c r="AG13" s="45">
        <f t="shared" si="2"/>
        <v>0</v>
      </c>
      <c r="AH13" s="45">
        <f t="shared" si="2"/>
        <v>0</v>
      </c>
      <c r="AI13" s="45">
        <f t="shared" si="2"/>
        <v>0</v>
      </c>
      <c r="AJ13" s="45">
        <f t="shared" si="2"/>
        <v>0</v>
      </c>
    </row>
    <row r="14" spans="1:36" ht="24" customHeight="1" x14ac:dyDescent="0.2">
      <c r="A14" s="43" t="s">
        <v>26</v>
      </c>
      <c r="B14" s="45">
        <f>MIN(B15,Projections!B73)</f>
        <v>0</v>
      </c>
      <c r="C14" s="45">
        <f>MIN(C15,Projections!C73)</f>
        <v>0</v>
      </c>
      <c r="D14" s="45">
        <f>MIN(D15,Projections!D73)</f>
        <v>0</v>
      </c>
      <c r="E14" s="45">
        <f>MIN(E15,Projections!E73)</f>
        <v>0</v>
      </c>
      <c r="F14" s="45">
        <f>MIN(F15,Projections!F73)</f>
        <v>0</v>
      </c>
      <c r="G14" s="45">
        <f>MIN(G15,Projections!G73)</f>
        <v>0</v>
      </c>
      <c r="H14" s="45">
        <f>MIN(H15,Projections!H73)</f>
        <v>0</v>
      </c>
      <c r="I14" s="45">
        <f>MIN(I15,Projections!I73)</f>
        <v>0</v>
      </c>
      <c r="J14" s="45">
        <f>MIN(J15,Projections!J73)</f>
        <v>0</v>
      </c>
      <c r="K14" s="45">
        <f>MIN(K15,Projections!K73)</f>
        <v>0</v>
      </c>
      <c r="L14" s="45">
        <f>MIN(L15,Projections!L73)</f>
        <v>0</v>
      </c>
      <c r="M14" s="45">
        <f>MIN(M15,Projections!M73)</f>
        <v>0</v>
      </c>
      <c r="N14" s="45">
        <f>MIN(N15,Projections!N73)</f>
        <v>0</v>
      </c>
      <c r="O14" s="45">
        <f>MIN(O15,Projections!O73)</f>
        <v>0</v>
      </c>
      <c r="P14" s="45">
        <f>MIN(P15,Projections!P73)</f>
        <v>0</v>
      </c>
      <c r="Q14" s="45">
        <f>MIN(Q15,Projections!Q73)</f>
        <v>0</v>
      </c>
      <c r="R14" s="45">
        <f>MIN(R15,Projections!R73)</f>
        <v>0</v>
      </c>
      <c r="S14" s="45">
        <f>MIN(S15,Projections!S73)</f>
        <v>0</v>
      </c>
      <c r="T14" s="45">
        <f>MIN(T15,Projections!T73)</f>
        <v>0</v>
      </c>
      <c r="U14" s="45">
        <f>MIN(U15,Projections!U73)</f>
        <v>0</v>
      </c>
      <c r="V14" s="45">
        <f>MIN(V15,Projections!V73)</f>
        <v>0</v>
      </c>
      <c r="W14" s="45">
        <f>MIN(W15,Projections!W73)</f>
        <v>0</v>
      </c>
      <c r="X14" s="45">
        <f>MIN(X15,Projections!X73)</f>
        <v>0</v>
      </c>
      <c r="Y14" s="45">
        <f>MIN(Y15,Projections!Y73)</f>
        <v>0</v>
      </c>
      <c r="Z14" s="45">
        <f>MIN(Z15,Projections!Z73)</f>
        <v>0</v>
      </c>
      <c r="AA14" s="45">
        <f>MIN(AA15,Projections!AA73)</f>
        <v>0</v>
      </c>
      <c r="AB14" s="45">
        <f>MIN(AB15,Projections!AB73)</f>
        <v>0</v>
      </c>
      <c r="AC14" s="45">
        <f>MIN(AC15,Projections!AC73)</f>
        <v>0</v>
      </c>
      <c r="AD14" s="45">
        <f>MIN(AD15,Projections!AD73)</f>
        <v>0</v>
      </c>
      <c r="AE14" s="45">
        <f>MIN(AE15,Projections!AE73)</f>
        <v>0</v>
      </c>
      <c r="AF14" s="45">
        <f>MIN(AF15,Projections!AF73)</f>
        <v>0</v>
      </c>
      <c r="AG14" s="45">
        <f>MIN(AG15,Projections!AG73)</f>
        <v>0</v>
      </c>
      <c r="AH14" s="45">
        <f>MIN(AH15,Projections!AH73)</f>
        <v>0</v>
      </c>
      <c r="AI14" s="45">
        <f>MIN(AI15,Projections!AI73)</f>
        <v>0</v>
      </c>
      <c r="AJ14" s="45">
        <f>MIN(AJ15,Projections!AJ73)</f>
        <v>0</v>
      </c>
    </row>
    <row r="15" spans="1:36" ht="24" customHeight="1" x14ac:dyDescent="0.2">
      <c r="A15" s="168" t="s">
        <v>103</v>
      </c>
      <c r="B15" s="45">
        <f>ROUND(Projections!B22,0)</f>
        <v>0</v>
      </c>
      <c r="C15" s="45">
        <f>ROUND(Projections!C22,0)</f>
        <v>0</v>
      </c>
      <c r="D15" s="45">
        <f>ROUND(Projections!D22,0)</f>
        <v>0</v>
      </c>
      <c r="E15" s="45">
        <f>ROUND(Projections!E22,0)</f>
        <v>0</v>
      </c>
      <c r="F15" s="45">
        <f>ROUND(Projections!F22,0)</f>
        <v>0</v>
      </c>
      <c r="G15" s="45">
        <f>ROUND(Projections!G22,0)</f>
        <v>0</v>
      </c>
      <c r="H15" s="45">
        <f>ROUND(Projections!H22,0)</f>
        <v>0</v>
      </c>
      <c r="I15" s="45">
        <f>ROUND(Projections!I22,0)</f>
        <v>0</v>
      </c>
      <c r="J15" s="45">
        <f>ROUND(Projections!J22,0)</f>
        <v>0</v>
      </c>
      <c r="K15" s="45">
        <f>ROUND(Projections!K22,0)</f>
        <v>0</v>
      </c>
      <c r="L15" s="45">
        <f>ROUND(Projections!L22,0)</f>
        <v>0</v>
      </c>
      <c r="M15" s="45">
        <f>ROUND(Projections!M22,0)</f>
        <v>0</v>
      </c>
      <c r="N15" s="45">
        <f>ROUND(Projections!N22,0)</f>
        <v>0</v>
      </c>
      <c r="O15" s="45">
        <f>ROUND(Projections!O22,0)</f>
        <v>0</v>
      </c>
      <c r="P15" s="45">
        <f>ROUND(Projections!P22,0)</f>
        <v>0</v>
      </c>
      <c r="Q15" s="45">
        <f>ROUND(Projections!Q22,0)</f>
        <v>0</v>
      </c>
      <c r="R15" s="45">
        <f>ROUND(Projections!R22,0)</f>
        <v>0</v>
      </c>
      <c r="S15" s="45">
        <f>ROUND(Projections!S22,0)</f>
        <v>0</v>
      </c>
      <c r="T15" s="45">
        <f>ROUND(Projections!T22,0)</f>
        <v>0</v>
      </c>
      <c r="U15" s="45">
        <f>ROUND(Projections!U22,0)</f>
        <v>0</v>
      </c>
      <c r="V15" s="45">
        <f>ROUND(Projections!V22,0)</f>
        <v>0</v>
      </c>
      <c r="W15" s="45">
        <f>ROUND(Projections!W22,0)</f>
        <v>0</v>
      </c>
      <c r="X15" s="45">
        <f>ROUND(Projections!X22,0)</f>
        <v>0</v>
      </c>
      <c r="Y15" s="45">
        <f>ROUND(Projections!Y22,0)</f>
        <v>0</v>
      </c>
      <c r="Z15" s="45">
        <f>ROUND(Projections!Z22,0)</f>
        <v>0</v>
      </c>
      <c r="AA15" s="45">
        <f>ROUND(Projections!AA22,0)</f>
        <v>0</v>
      </c>
      <c r="AB15" s="45">
        <f>ROUND(Projections!AB22,0)</f>
        <v>0</v>
      </c>
      <c r="AC15" s="45">
        <f>ROUND(Projections!AC22,0)</f>
        <v>0</v>
      </c>
      <c r="AD15" s="45">
        <f>ROUND(Projections!AD22,0)</f>
        <v>0</v>
      </c>
      <c r="AE15" s="45">
        <f>ROUND(Projections!AE22,0)</f>
        <v>0</v>
      </c>
      <c r="AF15" s="45">
        <f>ROUND(Projections!AF22,0)</f>
        <v>0</v>
      </c>
      <c r="AG15" s="45">
        <f>ROUND(Projections!AG22,0)</f>
        <v>0</v>
      </c>
      <c r="AH15" s="45">
        <f>ROUND(Projections!AH22,0)</f>
        <v>0</v>
      </c>
      <c r="AI15" s="45">
        <f>ROUND(Projections!AI22,0)</f>
        <v>0</v>
      </c>
      <c r="AJ15" s="45">
        <f>ROUND(Projections!AJ22,0)</f>
        <v>0</v>
      </c>
    </row>
    <row r="16" spans="1:36" ht="24" customHeight="1" x14ac:dyDescent="0.2">
      <c r="A16" s="168" t="s">
        <v>319</v>
      </c>
      <c r="B16" s="45">
        <f>Projections!B73</f>
        <v>1000000</v>
      </c>
      <c r="C16" s="45">
        <f>Projections!C73</f>
        <v>1025000</v>
      </c>
      <c r="D16" s="45">
        <f>Projections!D73</f>
        <v>1050625</v>
      </c>
      <c r="E16" s="45">
        <f>Projections!E73</f>
        <v>1076891</v>
      </c>
      <c r="F16" s="45">
        <f>Projections!F73</f>
        <v>1103813</v>
      </c>
      <c r="G16" s="45">
        <f>Projections!G73</f>
        <v>1131408</v>
      </c>
      <c r="H16" s="45">
        <f>Projections!H73</f>
        <v>1159693</v>
      </c>
      <c r="I16" s="45">
        <f>Projections!I73</f>
        <v>1188686</v>
      </c>
      <c r="J16" s="45">
        <f>Projections!J73</f>
        <v>1218403</v>
      </c>
      <c r="K16" s="45">
        <f>Projections!K73</f>
        <v>1248863</v>
      </c>
      <c r="L16" s="45">
        <f>Projections!L73</f>
        <v>1280085</v>
      </c>
      <c r="M16" s="45">
        <f>Projections!M73</f>
        <v>1312087</v>
      </c>
      <c r="N16" s="45">
        <f>Projections!N73</f>
        <v>1344889</v>
      </c>
      <c r="O16" s="45">
        <f>Projections!O73</f>
        <v>1378511</v>
      </c>
      <c r="P16" s="45">
        <f>Projections!P73</f>
        <v>1412974</v>
      </c>
      <c r="Q16" s="45">
        <f>Projections!Q73</f>
        <v>1448298</v>
      </c>
      <c r="R16" s="45">
        <f>Projections!R73</f>
        <v>1484506</v>
      </c>
      <c r="S16" s="45">
        <f>Projections!S73</f>
        <v>1521618</v>
      </c>
      <c r="T16" s="45">
        <f>Projections!T73</f>
        <v>1559659</v>
      </c>
      <c r="U16" s="45">
        <f>Projections!U73</f>
        <v>1598650</v>
      </c>
      <c r="V16" s="45">
        <f>Projections!V73</f>
        <v>1638616</v>
      </c>
      <c r="W16" s="45">
        <f>Projections!W73</f>
        <v>1679582</v>
      </c>
      <c r="X16" s="45">
        <f>Projections!X73</f>
        <v>1721571</v>
      </c>
      <c r="Y16" s="45">
        <f>Projections!Y73</f>
        <v>1764611</v>
      </c>
      <c r="Z16" s="45">
        <f>Projections!Z73</f>
        <v>1808726</v>
      </c>
      <c r="AA16" s="45">
        <f>Projections!AA73</f>
        <v>1853944</v>
      </c>
      <c r="AB16" s="45">
        <f>Projections!AB73</f>
        <v>1900293</v>
      </c>
      <c r="AC16" s="45">
        <f>Projections!AC73</f>
        <v>1947800</v>
      </c>
      <c r="AD16" s="45">
        <f>Projections!AD73</f>
        <v>1996495</v>
      </c>
      <c r="AE16" s="45">
        <f>Projections!AE73</f>
        <v>2046407</v>
      </c>
      <c r="AF16" s="45">
        <f>Projections!AF73</f>
        <v>2097568</v>
      </c>
      <c r="AG16" s="45">
        <f>Projections!AG73</f>
        <v>2150007</v>
      </c>
      <c r="AH16" s="45">
        <f>Projections!AH73</f>
        <v>2203757</v>
      </c>
      <c r="AI16" s="45">
        <f>Projections!AI73</f>
        <v>2258851</v>
      </c>
      <c r="AJ16" s="45">
        <f>Projections!AJ73</f>
        <v>2315322</v>
      </c>
    </row>
    <row r="17" spans="1:36" ht="24" customHeight="1" x14ac:dyDescent="0.2">
      <c r="A17" s="43" t="s">
        <v>167</v>
      </c>
      <c r="B17" s="46">
        <f>IF(Assumptions!$B$3="S",Projections!B69,Projections!B71)</f>
        <v>0.99996163299999996</v>
      </c>
      <c r="C17" s="46">
        <f>IF(Assumptions!$B$3="S",Projections!C69,Projections!C71)</f>
        <v>0.99983523701693733</v>
      </c>
      <c r="D17" s="46">
        <f>IF(Assumptions!$B$3="S",Projections!D69,Projections!D71)</f>
        <v>0.99960319609022064</v>
      </c>
      <c r="E17" s="46">
        <f>IF(Assumptions!$B$3="S",Projections!E69,Projections!E71)</f>
        <v>0.99924712185340592</v>
      </c>
      <c r="F17" s="46">
        <f>IF(Assumptions!$B$3="S",Projections!F69,Projections!F71)</f>
        <v>0.99874748153473791</v>
      </c>
      <c r="G17" s="46">
        <f>IF(Assumptions!$B$3="S",Projections!G69,Projections!G71)</f>
        <v>0.998083099681222</v>
      </c>
      <c r="H17" s="46">
        <f>IF(Assumptions!$B$3="S",Projections!H69,Projections!H71)</f>
        <v>0.99722886064981775</v>
      </c>
      <c r="I17" s="46">
        <f>IF(Assumptions!$B$3="S",Projections!I69,Projections!I71)</f>
        <v>0.99615574486009917</v>
      </c>
      <c r="J17" s="46">
        <f>IF(Assumptions!$B$3="S",Projections!J69,Projections!J71)</f>
        <v>0.99482741530583918</v>
      </c>
      <c r="K17" s="46">
        <f>IF(Assumptions!$B$3="S",Projections!K69,Projections!K71)</f>
        <v>0.99319950157679726</v>
      </c>
      <c r="L17" s="46">
        <f>IF(Assumptions!$B$3="S",Projections!L69,Projections!L71)</f>
        <v>0.99121799838246205</v>
      </c>
      <c r="M17" s="46">
        <f>IF(Assumptions!$B$3="S",Projections!M69,Projections!M71)</f>
        <v>0.98881675655130896</v>
      </c>
      <c r="N17" s="46">
        <f>IF(Assumptions!$B$3="S",Projections!N69,Projections!N71)</f>
        <v>0.9859143452918312</v>
      </c>
      <c r="O17" s="46">
        <f>IF(Assumptions!$B$3="S",Projections!O69,Projections!O71)</f>
        <v>0.98241210419155445</v>
      </c>
      <c r="P17" s="46">
        <f>IF(Assumptions!$B$3="S",Projections!P69,Projections!P71)</f>
        <v>0.97819032730532018</v>
      </c>
      <c r="Q17" s="46">
        <f>IF(Assumptions!$B$3="S",Projections!Q69,Projections!Q71)</f>
        <v>0.97310260203699428</v>
      </c>
      <c r="R17" s="46">
        <f>IF(Assumptions!$B$3="S",Projections!R69,Projections!R71)</f>
        <v>0.9669698673953957</v>
      </c>
      <c r="S17" s="46">
        <f>IF(Assumptions!$B$3="S",Projections!S69,Projections!S71)</f>
        <v>0.95957624711566569</v>
      </c>
      <c r="T17" s="46">
        <f>IF(Assumptions!$B$3="S",Projections!T69,Projections!T71)</f>
        <v>0.95066224378217001</v>
      </c>
      <c r="U17" s="46">
        <f>IF(Assumptions!$B$3="S",Projections!U69,Projections!U71)</f>
        <v>0.93992377511669911</v>
      </c>
      <c r="V17" s="46">
        <f>IF(Assumptions!$B$3="S",Projections!V69,Projections!V71)</f>
        <v>0.92700227811303371</v>
      </c>
      <c r="W17" s="46">
        <f>IF(Assumptions!$B$3="S",Projections!W69,Projections!W71)</f>
        <v>0.91148548321280609</v>
      </c>
      <c r="X17" s="46">
        <f>IF(Assumptions!$B$3="S",Projections!X69,Projections!X71)</f>
        <v>0.89292090976454652</v>
      </c>
      <c r="Y17" s="46">
        <f>IF(Assumptions!$B$3="S",Projections!Y69,Projections!Y71)</f>
        <v>0.87080594191333649</v>
      </c>
      <c r="Z17" s="46">
        <f>IF(Assumptions!$B$3="S",Projections!Z69,Projections!Z71)</f>
        <v>0.84461760735303204</v>
      </c>
      <c r="AA17" s="46">
        <f>IF(Assumptions!$B$3="S",Projections!AA69,Projections!AA71)</f>
        <v>0.81385103257623903</v>
      </c>
      <c r="AB17" s="46">
        <f>IF(Assumptions!$B$3="S",Projections!AB69,Projections!AB71)</f>
        <v>0.77804338575965404</v>
      </c>
      <c r="AC17" s="46">
        <f>IF(Assumptions!$B$3="S",Projections!AC69,Projections!AC71)</f>
        <v>0.73684107497042817</v>
      </c>
      <c r="AD17" s="46">
        <f>IF(Assumptions!$B$3="S",Projections!AD69,Projections!AD71)</f>
        <v>0.69008725233576884</v>
      </c>
      <c r="AE17" s="46">
        <f>IF(Assumptions!$B$3="S",Projections!AE69,Projections!AE71)</f>
        <v>0.63789372450640591</v>
      </c>
      <c r="AF17" s="46">
        <f>IF(Assumptions!$B$3="S",Projections!AF69,Projections!AF71)</f>
        <v>0.58067961668752732</v>
      </c>
      <c r="AG17" s="46">
        <f>IF(Assumptions!$B$3="S",Projections!AG69,Projections!AG71)</f>
        <v>0.51948750230649943</v>
      </c>
      <c r="AH17" s="46">
        <f>IF(Assumptions!$B$3="S",Projections!AH69,Projections!AH71)</f>
        <v>0.45590711083744506</v>
      </c>
      <c r="AI17" s="46">
        <f>IF(Assumptions!$B$3="S",Projections!AI69,Projections!AI71)</f>
        <v>0.39190625612894892</v>
      </c>
      <c r="AJ17" s="46">
        <f>IF(Assumptions!$B$3="S",Projections!AJ69,Projections!AJ71)</f>
        <v>0.32953872142869245</v>
      </c>
    </row>
    <row r="18" spans="1:36" ht="24" customHeight="1" x14ac:dyDescent="0.2"/>
    <row r="19" spans="1:36" ht="24" customHeight="1" x14ac:dyDescent="0.2"/>
    <row r="20" spans="1:36" ht="24" customHeight="1" x14ac:dyDescent="0.2">
      <c r="B20" s="152">
        <f>'Total Expenses'!B4/'Total Expenses'!$B$1</f>
        <v>0</v>
      </c>
    </row>
    <row r="21" spans="1:36" ht="24" customHeight="1" x14ac:dyDescent="0.2">
      <c r="B21" s="152">
        <f>'Total Expenses'!B5/'Total Expenses'!$B$1</f>
        <v>0</v>
      </c>
    </row>
    <row r="22" spans="1:36" ht="24" customHeight="1" x14ac:dyDescent="0.2">
      <c r="B22" s="152">
        <f>'Total Expenses'!B6/'Total Expenses'!$B$1</f>
        <v>0.2709030100334448</v>
      </c>
    </row>
    <row r="23" spans="1:36" ht="24" customHeight="1" x14ac:dyDescent="0.2">
      <c r="B23" s="152">
        <f>'Total Expenses'!B7/'Total Expenses'!$B$1</f>
        <v>0</v>
      </c>
    </row>
    <row r="24" spans="1:36" ht="24" customHeight="1" x14ac:dyDescent="0.2">
      <c r="B24" s="152">
        <f>'Total Expenses'!B8/'Total Expenses'!$B$1</f>
        <v>0</v>
      </c>
    </row>
    <row r="25" spans="1:36" ht="24" customHeight="1" x14ac:dyDescent="0.2">
      <c r="B25" s="152">
        <f>'Total Expenses'!B9/'Total Expenses'!$B$1</f>
        <v>0</v>
      </c>
    </row>
    <row r="26" spans="1:36" ht="24" customHeight="1" x14ac:dyDescent="0.2">
      <c r="B26" s="152">
        <f>'Total Expenses'!B10/'Total Expenses'!$B$1</f>
        <v>0</v>
      </c>
    </row>
    <row r="27" spans="1:36" ht="24" customHeight="1" x14ac:dyDescent="0.2">
      <c r="B27" s="152">
        <f>'Total Expenses'!B11/'Total Expenses'!$B$1</f>
        <v>0</v>
      </c>
    </row>
    <row r="28" spans="1:36" ht="24" customHeight="1" x14ac:dyDescent="0.2">
      <c r="B28" s="153"/>
    </row>
    <row r="29" spans="1:36" ht="24" customHeight="1" x14ac:dyDescent="0.2">
      <c r="B29" s="154"/>
    </row>
    <row r="30" spans="1:36" ht="24" customHeight="1" x14ac:dyDescent="0.2">
      <c r="B30" s="152">
        <f>'Total Expenses'!B14/'Total Expenses'!$B$1</f>
        <v>0.72909698996655514</v>
      </c>
    </row>
    <row r="31" spans="1:36" ht="24" customHeight="1" x14ac:dyDescent="0.2">
      <c r="B31" s="152">
        <f>'Total Expenses'!B15/'Total Expenses'!$B$1</f>
        <v>0</v>
      </c>
    </row>
    <row r="32" spans="1:36" ht="24" customHeight="1" x14ac:dyDescent="0.2"/>
    <row r="33" spans="1:10" ht="24" customHeight="1" x14ac:dyDescent="0.2">
      <c r="B33" s="165" t="s">
        <v>21</v>
      </c>
      <c r="C33" s="165" t="s">
        <v>311</v>
      </c>
      <c r="D33" s="165" t="s">
        <v>314</v>
      </c>
      <c r="E33" s="165" t="s">
        <v>315</v>
      </c>
      <c r="F33" s="165" t="s">
        <v>25</v>
      </c>
      <c r="G33" s="165" t="s">
        <v>316</v>
      </c>
      <c r="H33" s="165" t="s">
        <v>91</v>
      </c>
      <c r="I33" s="165" t="s">
        <v>317</v>
      </c>
      <c r="J33" s="165" t="s">
        <v>318</v>
      </c>
    </row>
    <row r="34" spans="1:10" ht="24" customHeight="1" x14ac:dyDescent="0.2">
      <c r="A34" s="163" t="s">
        <v>304</v>
      </c>
      <c r="B34" s="57">
        <f>'retirement income vs spending'!B38</f>
        <v>2026</v>
      </c>
      <c r="C34" s="166">
        <f ca="1">HLOOKUP($B$34,$B$4:$AJ$17,5)</f>
        <v>0</v>
      </c>
      <c r="D34" s="166">
        <f>HLOOKUP($B$34,$B$4:$AJ$17,9)</f>
        <v>0</v>
      </c>
      <c r="E34" s="166">
        <f>HLOOKUP($B$34,$B$4:$AJ$17,6)</f>
        <v>36733</v>
      </c>
      <c r="F34" s="166">
        <f>HLOOKUP($B$34,$B$4:$AJ$17,12)</f>
        <v>0</v>
      </c>
      <c r="G34" s="166">
        <f>HLOOKUP($B$34,$B$4:$AJ$17,13)</f>
        <v>1000000</v>
      </c>
      <c r="H34" s="167">
        <f>HLOOKUP($B$34,$B$4:$AJ$17,14)</f>
        <v>0.99996163299999996</v>
      </c>
      <c r="I34" s="167" t="str">
        <f>Assumptions!B3</f>
        <v>M</v>
      </c>
      <c r="J34" s="232" t="str">
        <f>(Assumptions!C4+Charts!B34-Assumptions!C3)&amp;IF(Assumptions!B3="M","/"&amp;(Assumptions!C5+Charts!B34-Assumptions!C3))</f>
        <v>60/60</v>
      </c>
    </row>
    <row r="35" spans="1:10" ht="24" customHeight="1" x14ac:dyDescent="0.2">
      <c r="A35" s="43" t="s">
        <v>305</v>
      </c>
      <c r="B35" s="164" t="str">
        <f>"In the year "&amp;B34&amp;", "</f>
        <v xml:space="preserve">In the year 2026, </v>
      </c>
    </row>
    <row r="36" spans="1:10" ht="24" customHeight="1" x14ac:dyDescent="0.2">
      <c r="A36" s="1" t="s">
        <v>306</v>
      </c>
      <c r="B36" s="164" t="str">
        <f ca="1">IF(C34&gt;0,"your income totals about "&amp;TEXT(C34,"$#,###")&amp;", ","")</f>
        <v/>
      </c>
    </row>
    <row r="37" spans="1:10" ht="24" customHeight="1" x14ac:dyDescent="0.2">
      <c r="A37" s="1" t="s">
        <v>308</v>
      </c>
      <c r="B37" s="164" t="str">
        <f>IF(D34&gt;0,"you'll withdraw about "&amp;TEXT(D34,"$#,###")&amp;" from your savings "," ")</f>
        <v xml:space="preserve"> </v>
      </c>
    </row>
    <row r="38" spans="1:10" ht="24" customHeight="1" x14ac:dyDescent="0.2">
      <c r="A38" s="1" t="s">
        <v>307</v>
      </c>
      <c r="B38" s="164" t="str">
        <f ca="1">"which "&amp;IF(E34=SUM(C34:D34),"meets",IF(E34&lt;SUM(C34:D34),"exceeds","falls short of"))&amp;" your spending goal of "&amp;TEXT(E34,"$#,##0")&amp;"."</f>
        <v>which falls short of your spending goal of $36,733.</v>
      </c>
    </row>
    <row r="39" spans="1:10" ht="24" customHeight="1" x14ac:dyDescent="0.2">
      <c r="A39" s="1" t="s">
        <v>309</v>
      </c>
      <c r="B39" s="164" t="str">
        <f>IF(F34=0,"Your savings will have run out","Your savings will "&amp;IF(B34=B4,"start at","grow to")&amp;" about "&amp;TEXT(F34,"$#,###"))</f>
        <v>Your savings will have run out</v>
      </c>
    </row>
    <row r="40" spans="1:10" ht="24" customHeight="1" x14ac:dyDescent="0.2">
      <c r="A40" s="1" t="s">
        <v>310</v>
      </c>
      <c r="B40" s="164" t="str">
        <f>IF(G34=0,". ",IF(G34&lt;F34,", which meets ",", which falls short of ")&amp;"your legacy goal of "&amp;TEXT(G34,"$#,###")&amp;". ")</f>
        <v xml:space="preserve">, which falls short of your legacy goal of $1,000,000. </v>
      </c>
    </row>
    <row r="41" spans="1:10" ht="24" customHeight="1" x14ac:dyDescent="0.2">
      <c r="A41" s="1" t="s">
        <v>313</v>
      </c>
      <c r="B41" s="164" t="str">
        <f>"There is a "&amp;TEXT(H34,"0%")&amp;" chance that "&amp;IF(I34="M","you or your spouse","you")&amp;" live to "&amp;IF(I34="M","age(s) ","age ")&amp;J34&amp;"."</f>
        <v>There is a 100% chance that you or your spouse live to age(s) 60/60.</v>
      </c>
    </row>
    <row r="42" spans="1:10" ht="24" customHeight="1" x14ac:dyDescent="0.2">
      <c r="A42" s="1"/>
      <c r="B42" s="2"/>
    </row>
    <row r="43" spans="1:10" ht="24" customHeight="1" x14ac:dyDescent="0.2">
      <c r="A43" s="163" t="s">
        <v>331</v>
      </c>
      <c r="B43" s="258">
        <f>'retirement income vs spending'!J46</f>
        <v>0</v>
      </c>
      <c r="D43" s="167" t="s">
        <v>333</v>
      </c>
      <c r="E43" s="167" t="s">
        <v>370</v>
      </c>
      <c r="F43" s="167" t="s">
        <v>371</v>
      </c>
    </row>
    <row r="44" spans="1:10" ht="24" customHeight="1" x14ac:dyDescent="0.2">
      <c r="A44" s="1" t="s">
        <v>368</v>
      </c>
      <c r="B44" s="2">
        <f ca="1">Projections!B55</f>
        <v>0</v>
      </c>
      <c r="D44" s="2"/>
      <c r="E44" s="2">
        <f ca="1">B44</f>
        <v>0</v>
      </c>
      <c r="F44" s="2">
        <f ca="1">B45</f>
        <v>0</v>
      </c>
      <c r="G44" s="1" t="s">
        <v>372</v>
      </c>
    </row>
    <row r="45" spans="1:10" ht="24" customHeight="1" x14ac:dyDescent="0.2">
      <c r="A45" s="1" t="s">
        <v>369</v>
      </c>
      <c r="B45" s="2">
        <f ca="1">SUM(Projections!D55:AJ55)</f>
        <v>0</v>
      </c>
      <c r="D45" s="2">
        <v>0</v>
      </c>
      <c r="E45" s="259">
        <f t="dataTable" ref="E45:F45" dt2D="0" dtr="0" r1="B43" ca="1"/>
        <v>0</v>
      </c>
      <c r="F45" s="259">
        <v>0</v>
      </c>
    </row>
    <row r="46" spans="1:10" ht="24" customHeight="1" x14ac:dyDescent="0.2">
      <c r="A46" s="1"/>
      <c r="B46" s="2"/>
      <c r="D46" s="4"/>
      <c r="E46" s="4">
        <f ca="1">E44-E45</f>
        <v>0</v>
      </c>
      <c r="F46" s="4">
        <f ca="1">F45-F44</f>
        <v>0</v>
      </c>
    </row>
    <row r="47" spans="1:10" ht="24" customHeight="1" x14ac:dyDescent="0.2">
      <c r="A47" s="1"/>
      <c r="B47" s="2"/>
      <c r="D47" s="4"/>
      <c r="E47" s="4"/>
      <c r="F47" s="4"/>
    </row>
    <row r="48" spans="1:10" ht="24" customHeight="1" x14ac:dyDescent="0.2">
      <c r="A48" s="163" t="s">
        <v>247</v>
      </c>
      <c r="B48" s="232">
        <v>1942</v>
      </c>
      <c r="D48" s="167" t="s">
        <v>21</v>
      </c>
      <c r="E48" s="167" t="s">
        <v>25</v>
      </c>
      <c r="F48" s="167">
        <f>COUNTIF(F50:F110,1)/COUNT(F50:F110)</f>
        <v>0</v>
      </c>
    </row>
    <row r="49" spans="1:7" ht="24" customHeight="1" x14ac:dyDescent="0.2">
      <c r="A49" s="1" t="s">
        <v>373</v>
      </c>
      <c r="B49" s="2">
        <f>Projections!$AJ$22</f>
        <v>0</v>
      </c>
      <c r="D49" s="2"/>
      <c r="E49" s="2">
        <f>B49</f>
        <v>0</v>
      </c>
      <c r="F49" s="228">
        <f>B50*1</f>
        <v>0</v>
      </c>
      <c r="G49" s="1" t="s">
        <v>375</v>
      </c>
    </row>
    <row r="50" spans="1:7" ht="24" customHeight="1" x14ac:dyDescent="0.2">
      <c r="A50" s="1" t="s">
        <v>374</v>
      </c>
      <c r="B50" s="2" t="b">
        <f>(B49&gt;0)</f>
        <v>0</v>
      </c>
      <c r="D50" s="262">
        <v>1989</v>
      </c>
      <c r="E50" s="2">
        <f t="dataTable" ref="E50:F110" dt2D="0" dtr="0" r1="B48" ca="1"/>
        <v>0</v>
      </c>
      <c r="F50" s="228">
        <v>0</v>
      </c>
    </row>
    <row r="51" spans="1:7" ht="24" customHeight="1" x14ac:dyDescent="0.2">
      <c r="A51" s="1"/>
      <c r="B51" s="2"/>
      <c r="D51" s="263">
        <f>D50-1</f>
        <v>1988</v>
      </c>
      <c r="E51" s="2">
        <v>0</v>
      </c>
      <c r="F51" s="228">
        <v>0</v>
      </c>
    </row>
    <row r="52" spans="1:7" ht="24" customHeight="1" x14ac:dyDescent="0.2">
      <c r="A52" s="1"/>
      <c r="B52" s="2"/>
      <c r="D52" s="263">
        <f t="shared" ref="D52:D110" si="3">D51-1</f>
        <v>1987</v>
      </c>
      <c r="E52" s="2">
        <v>0</v>
      </c>
      <c r="F52" s="228">
        <v>0</v>
      </c>
    </row>
    <row r="53" spans="1:7" ht="24" customHeight="1" x14ac:dyDescent="0.2">
      <c r="A53" s="1"/>
      <c r="B53" s="2"/>
      <c r="D53" s="263">
        <f t="shared" si="3"/>
        <v>1986</v>
      </c>
      <c r="E53" s="2">
        <v>0</v>
      </c>
      <c r="F53" s="228">
        <v>0</v>
      </c>
    </row>
    <row r="54" spans="1:7" ht="24" customHeight="1" x14ac:dyDescent="0.2">
      <c r="D54" s="263">
        <f t="shared" si="3"/>
        <v>1985</v>
      </c>
      <c r="E54" s="2">
        <v>0</v>
      </c>
      <c r="F54" s="228">
        <v>0</v>
      </c>
    </row>
    <row r="55" spans="1:7" ht="24" customHeight="1" x14ac:dyDescent="0.2">
      <c r="D55" s="263">
        <f t="shared" si="3"/>
        <v>1984</v>
      </c>
      <c r="E55" s="2">
        <v>0</v>
      </c>
      <c r="F55" s="228">
        <v>0</v>
      </c>
    </row>
    <row r="56" spans="1:7" ht="24" customHeight="1" x14ac:dyDescent="0.2">
      <c r="D56" s="263">
        <f t="shared" si="3"/>
        <v>1983</v>
      </c>
      <c r="E56" s="2">
        <v>0</v>
      </c>
      <c r="F56" s="228">
        <v>0</v>
      </c>
    </row>
    <row r="57" spans="1:7" ht="24" customHeight="1" x14ac:dyDescent="0.2">
      <c r="D57" s="263">
        <f t="shared" si="3"/>
        <v>1982</v>
      </c>
      <c r="E57" s="2">
        <v>0</v>
      </c>
      <c r="F57" s="228">
        <v>0</v>
      </c>
    </row>
    <row r="58" spans="1:7" ht="24" customHeight="1" x14ac:dyDescent="0.2">
      <c r="D58" s="263">
        <f t="shared" si="3"/>
        <v>1981</v>
      </c>
      <c r="E58" s="2">
        <v>0</v>
      </c>
      <c r="F58" s="228">
        <v>0</v>
      </c>
    </row>
    <row r="59" spans="1:7" ht="24" customHeight="1" x14ac:dyDescent="0.2">
      <c r="D59" s="263">
        <f t="shared" si="3"/>
        <v>1980</v>
      </c>
      <c r="E59" s="2">
        <v>0</v>
      </c>
      <c r="F59" s="228">
        <v>0</v>
      </c>
    </row>
    <row r="60" spans="1:7" ht="24" customHeight="1" x14ac:dyDescent="0.2">
      <c r="D60" s="263">
        <f t="shared" si="3"/>
        <v>1979</v>
      </c>
      <c r="E60" s="2">
        <v>0</v>
      </c>
      <c r="F60" s="228">
        <v>0</v>
      </c>
    </row>
    <row r="61" spans="1:7" ht="24" customHeight="1" x14ac:dyDescent="0.2">
      <c r="D61" s="263">
        <f t="shared" si="3"/>
        <v>1978</v>
      </c>
      <c r="E61" s="2">
        <v>0</v>
      </c>
      <c r="F61" s="228">
        <v>0</v>
      </c>
    </row>
    <row r="62" spans="1:7" ht="24" customHeight="1" x14ac:dyDescent="0.2">
      <c r="D62" s="263">
        <f t="shared" si="3"/>
        <v>1977</v>
      </c>
      <c r="E62" s="2">
        <v>0</v>
      </c>
      <c r="F62" s="228">
        <v>0</v>
      </c>
    </row>
    <row r="63" spans="1:7" ht="24" customHeight="1" x14ac:dyDescent="0.2">
      <c r="D63" s="263">
        <f t="shared" si="3"/>
        <v>1976</v>
      </c>
      <c r="E63" s="2">
        <v>0</v>
      </c>
      <c r="F63" s="228">
        <v>0</v>
      </c>
    </row>
    <row r="64" spans="1:7" ht="24" customHeight="1" x14ac:dyDescent="0.2">
      <c r="D64" s="263">
        <f t="shared" si="3"/>
        <v>1975</v>
      </c>
      <c r="E64" s="2">
        <v>0</v>
      </c>
      <c r="F64" s="228">
        <v>0</v>
      </c>
    </row>
    <row r="65" spans="4:6" ht="24" customHeight="1" x14ac:dyDescent="0.2">
      <c r="D65" s="263">
        <f t="shared" si="3"/>
        <v>1974</v>
      </c>
      <c r="E65" s="2">
        <v>0</v>
      </c>
      <c r="F65" s="228">
        <v>0</v>
      </c>
    </row>
    <row r="66" spans="4:6" ht="24" customHeight="1" x14ac:dyDescent="0.2">
      <c r="D66" s="263">
        <f t="shared" si="3"/>
        <v>1973</v>
      </c>
      <c r="E66" s="2">
        <v>0</v>
      </c>
      <c r="F66" s="228">
        <v>0</v>
      </c>
    </row>
    <row r="67" spans="4:6" ht="24" customHeight="1" x14ac:dyDescent="0.2">
      <c r="D67" s="263">
        <f t="shared" si="3"/>
        <v>1972</v>
      </c>
      <c r="E67" s="2">
        <v>0</v>
      </c>
      <c r="F67" s="228">
        <v>0</v>
      </c>
    </row>
    <row r="68" spans="4:6" ht="24" customHeight="1" x14ac:dyDescent="0.2">
      <c r="D68" s="263">
        <f t="shared" si="3"/>
        <v>1971</v>
      </c>
      <c r="E68" s="2">
        <v>0</v>
      </c>
      <c r="F68" s="228">
        <v>0</v>
      </c>
    </row>
    <row r="69" spans="4:6" ht="24" customHeight="1" x14ac:dyDescent="0.2">
      <c r="D69" s="263">
        <f t="shared" si="3"/>
        <v>1970</v>
      </c>
      <c r="E69" s="2">
        <v>0</v>
      </c>
      <c r="F69" s="228">
        <v>0</v>
      </c>
    </row>
    <row r="70" spans="4:6" ht="24" customHeight="1" x14ac:dyDescent="0.2">
      <c r="D70" s="263">
        <f t="shared" si="3"/>
        <v>1969</v>
      </c>
      <c r="E70" s="2">
        <v>0</v>
      </c>
      <c r="F70" s="228">
        <v>0</v>
      </c>
    </row>
    <row r="71" spans="4:6" ht="24" customHeight="1" x14ac:dyDescent="0.2">
      <c r="D71" s="263">
        <f t="shared" si="3"/>
        <v>1968</v>
      </c>
      <c r="E71" s="2">
        <v>0</v>
      </c>
      <c r="F71" s="228">
        <v>0</v>
      </c>
    </row>
    <row r="72" spans="4:6" ht="24" customHeight="1" x14ac:dyDescent="0.2">
      <c r="D72" s="263">
        <f t="shared" si="3"/>
        <v>1967</v>
      </c>
      <c r="E72" s="2">
        <v>0</v>
      </c>
      <c r="F72" s="228">
        <v>0</v>
      </c>
    </row>
    <row r="73" spans="4:6" ht="24" customHeight="1" x14ac:dyDescent="0.2">
      <c r="D73" s="263">
        <f t="shared" si="3"/>
        <v>1966</v>
      </c>
      <c r="E73" s="2">
        <v>0</v>
      </c>
      <c r="F73" s="228">
        <v>0</v>
      </c>
    </row>
    <row r="74" spans="4:6" ht="24" customHeight="1" x14ac:dyDescent="0.2">
      <c r="D74" s="263">
        <f t="shared" si="3"/>
        <v>1965</v>
      </c>
      <c r="E74" s="2">
        <v>0</v>
      </c>
      <c r="F74" s="228">
        <v>0</v>
      </c>
    </row>
    <row r="75" spans="4:6" ht="24" customHeight="1" x14ac:dyDescent="0.2">
      <c r="D75" s="263">
        <f t="shared" si="3"/>
        <v>1964</v>
      </c>
      <c r="E75" s="2">
        <v>0</v>
      </c>
      <c r="F75" s="228">
        <v>0</v>
      </c>
    </row>
    <row r="76" spans="4:6" ht="24" customHeight="1" x14ac:dyDescent="0.2">
      <c r="D76" s="263">
        <f t="shared" si="3"/>
        <v>1963</v>
      </c>
      <c r="E76" s="2">
        <v>0</v>
      </c>
      <c r="F76" s="228">
        <v>0</v>
      </c>
    </row>
    <row r="77" spans="4:6" ht="24" customHeight="1" x14ac:dyDescent="0.2">
      <c r="D77" s="263">
        <f t="shared" si="3"/>
        <v>1962</v>
      </c>
      <c r="E77" s="2">
        <v>0</v>
      </c>
      <c r="F77" s="228">
        <v>0</v>
      </c>
    </row>
    <row r="78" spans="4:6" ht="24" customHeight="1" x14ac:dyDescent="0.2">
      <c r="D78" s="263">
        <f t="shared" si="3"/>
        <v>1961</v>
      </c>
      <c r="E78" s="2">
        <v>0</v>
      </c>
      <c r="F78" s="228">
        <v>0</v>
      </c>
    </row>
    <row r="79" spans="4:6" ht="24" customHeight="1" x14ac:dyDescent="0.2">
      <c r="D79" s="263">
        <f t="shared" si="3"/>
        <v>1960</v>
      </c>
      <c r="E79" s="2">
        <v>0</v>
      </c>
      <c r="F79" s="228">
        <v>0</v>
      </c>
    </row>
    <row r="80" spans="4:6" ht="24" customHeight="1" x14ac:dyDescent="0.2">
      <c r="D80" s="263">
        <f t="shared" si="3"/>
        <v>1959</v>
      </c>
      <c r="E80" s="2">
        <v>0</v>
      </c>
      <c r="F80" s="228">
        <v>0</v>
      </c>
    </row>
    <row r="81" spans="4:6" ht="24" customHeight="1" x14ac:dyDescent="0.2">
      <c r="D81" s="263">
        <f t="shared" si="3"/>
        <v>1958</v>
      </c>
      <c r="E81" s="2">
        <v>0</v>
      </c>
      <c r="F81" s="228">
        <v>0</v>
      </c>
    </row>
    <row r="82" spans="4:6" ht="24" customHeight="1" x14ac:dyDescent="0.2">
      <c r="D82" s="263">
        <f t="shared" si="3"/>
        <v>1957</v>
      </c>
      <c r="E82" s="2">
        <v>0</v>
      </c>
      <c r="F82" s="228">
        <v>0</v>
      </c>
    </row>
    <row r="83" spans="4:6" ht="24" customHeight="1" x14ac:dyDescent="0.2">
      <c r="D83" s="263">
        <f t="shared" si="3"/>
        <v>1956</v>
      </c>
      <c r="E83" s="2">
        <v>0</v>
      </c>
      <c r="F83" s="228">
        <v>0</v>
      </c>
    </row>
    <row r="84" spans="4:6" ht="24" customHeight="1" x14ac:dyDescent="0.2">
      <c r="D84" s="263">
        <f t="shared" si="3"/>
        <v>1955</v>
      </c>
      <c r="E84" s="2">
        <v>0</v>
      </c>
      <c r="F84" s="228">
        <v>0</v>
      </c>
    </row>
    <row r="85" spans="4:6" ht="24" customHeight="1" x14ac:dyDescent="0.2">
      <c r="D85" s="263">
        <f t="shared" si="3"/>
        <v>1954</v>
      </c>
      <c r="E85" s="2">
        <v>0</v>
      </c>
      <c r="F85" s="228">
        <v>0</v>
      </c>
    </row>
    <row r="86" spans="4:6" ht="24" customHeight="1" x14ac:dyDescent="0.2">
      <c r="D86" s="263">
        <f t="shared" si="3"/>
        <v>1953</v>
      </c>
      <c r="E86" s="2">
        <v>0</v>
      </c>
      <c r="F86" s="228">
        <v>0</v>
      </c>
    </row>
    <row r="87" spans="4:6" ht="24" customHeight="1" x14ac:dyDescent="0.2">
      <c r="D87" s="263">
        <f t="shared" si="3"/>
        <v>1952</v>
      </c>
      <c r="E87" s="2">
        <v>0</v>
      </c>
      <c r="F87" s="228">
        <v>0</v>
      </c>
    </row>
    <row r="88" spans="4:6" ht="24" customHeight="1" x14ac:dyDescent="0.2">
      <c r="D88" s="263">
        <f t="shared" si="3"/>
        <v>1951</v>
      </c>
      <c r="E88" s="2">
        <v>0</v>
      </c>
      <c r="F88" s="228">
        <v>0</v>
      </c>
    </row>
    <row r="89" spans="4:6" ht="24" customHeight="1" x14ac:dyDescent="0.2">
      <c r="D89" s="263">
        <f t="shared" si="3"/>
        <v>1950</v>
      </c>
      <c r="E89" s="2">
        <v>0</v>
      </c>
      <c r="F89" s="228">
        <v>0</v>
      </c>
    </row>
    <row r="90" spans="4:6" ht="24" customHeight="1" x14ac:dyDescent="0.2">
      <c r="D90" s="263">
        <f t="shared" si="3"/>
        <v>1949</v>
      </c>
      <c r="E90" s="2">
        <v>0</v>
      </c>
      <c r="F90" s="228">
        <v>0</v>
      </c>
    </row>
    <row r="91" spans="4:6" ht="24" customHeight="1" x14ac:dyDescent="0.2">
      <c r="D91" s="263">
        <f t="shared" si="3"/>
        <v>1948</v>
      </c>
      <c r="E91" s="2">
        <v>0</v>
      </c>
      <c r="F91" s="228">
        <v>0</v>
      </c>
    </row>
    <row r="92" spans="4:6" ht="24" customHeight="1" x14ac:dyDescent="0.2">
      <c r="D92" s="263">
        <f t="shared" si="3"/>
        <v>1947</v>
      </c>
      <c r="E92" s="2">
        <v>0</v>
      </c>
      <c r="F92" s="228">
        <v>0</v>
      </c>
    </row>
    <row r="93" spans="4:6" ht="24" customHeight="1" x14ac:dyDescent="0.2">
      <c r="D93" s="263">
        <f t="shared" si="3"/>
        <v>1946</v>
      </c>
      <c r="E93" s="2">
        <v>0</v>
      </c>
      <c r="F93" s="228">
        <v>0</v>
      </c>
    </row>
    <row r="94" spans="4:6" ht="24" customHeight="1" x14ac:dyDescent="0.2">
      <c r="D94" s="263">
        <f t="shared" si="3"/>
        <v>1945</v>
      </c>
      <c r="E94" s="2">
        <v>0</v>
      </c>
      <c r="F94" s="228">
        <v>0</v>
      </c>
    </row>
    <row r="95" spans="4:6" ht="24" customHeight="1" x14ac:dyDescent="0.2">
      <c r="D95" s="263">
        <f t="shared" si="3"/>
        <v>1944</v>
      </c>
      <c r="E95" s="2">
        <v>0</v>
      </c>
      <c r="F95" s="228">
        <v>0</v>
      </c>
    </row>
    <row r="96" spans="4:6" ht="24" customHeight="1" x14ac:dyDescent="0.2">
      <c r="D96" s="263">
        <f t="shared" si="3"/>
        <v>1943</v>
      </c>
      <c r="E96" s="2">
        <v>0</v>
      </c>
      <c r="F96" s="228">
        <v>0</v>
      </c>
    </row>
    <row r="97" spans="4:6" ht="24" customHeight="1" x14ac:dyDescent="0.2">
      <c r="D97" s="263">
        <f t="shared" si="3"/>
        <v>1942</v>
      </c>
      <c r="E97" s="2">
        <v>0</v>
      </c>
      <c r="F97" s="228">
        <v>0</v>
      </c>
    </row>
    <row r="98" spans="4:6" ht="24" customHeight="1" x14ac:dyDescent="0.2">
      <c r="D98" s="263">
        <f t="shared" si="3"/>
        <v>1941</v>
      </c>
      <c r="E98" s="2">
        <v>0</v>
      </c>
      <c r="F98" s="228">
        <v>0</v>
      </c>
    </row>
    <row r="99" spans="4:6" ht="24" customHeight="1" x14ac:dyDescent="0.2">
      <c r="D99" s="263">
        <f t="shared" si="3"/>
        <v>1940</v>
      </c>
      <c r="E99" s="2">
        <v>0</v>
      </c>
      <c r="F99" s="228">
        <v>0</v>
      </c>
    </row>
    <row r="100" spans="4:6" ht="24" customHeight="1" x14ac:dyDescent="0.2">
      <c r="D100" s="263">
        <f t="shared" si="3"/>
        <v>1939</v>
      </c>
      <c r="E100" s="2">
        <v>0</v>
      </c>
      <c r="F100" s="228">
        <v>0</v>
      </c>
    </row>
    <row r="101" spans="4:6" ht="24" customHeight="1" x14ac:dyDescent="0.2">
      <c r="D101" s="263">
        <f t="shared" si="3"/>
        <v>1938</v>
      </c>
      <c r="E101" s="2">
        <v>0</v>
      </c>
      <c r="F101" s="228">
        <v>0</v>
      </c>
    </row>
    <row r="102" spans="4:6" ht="24" customHeight="1" x14ac:dyDescent="0.2">
      <c r="D102" s="263">
        <f t="shared" si="3"/>
        <v>1937</v>
      </c>
      <c r="E102" s="2">
        <v>0</v>
      </c>
      <c r="F102" s="228">
        <v>0</v>
      </c>
    </row>
    <row r="103" spans="4:6" ht="24" customHeight="1" x14ac:dyDescent="0.2">
      <c r="D103" s="263">
        <f t="shared" si="3"/>
        <v>1936</v>
      </c>
      <c r="E103" s="2">
        <v>0</v>
      </c>
      <c r="F103" s="228">
        <v>0</v>
      </c>
    </row>
    <row r="104" spans="4:6" ht="24" customHeight="1" x14ac:dyDescent="0.2">
      <c r="D104" s="263">
        <f t="shared" si="3"/>
        <v>1935</v>
      </c>
      <c r="E104" s="2">
        <v>0</v>
      </c>
      <c r="F104" s="228">
        <v>0</v>
      </c>
    </row>
    <row r="105" spans="4:6" ht="24" customHeight="1" x14ac:dyDescent="0.2">
      <c r="D105" s="263">
        <f t="shared" si="3"/>
        <v>1934</v>
      </c>
      <c r="E105" s="2">
        <v>0</v>
      </c>
      <c r="F105" s="228">
        <v>0</v>
      </c>
    </row>
    <row r="106" spans="4:6" ht="24" customHeight="1" x14ac:dyDescent="0.2">
      <c r="D106" s="263">
        <f t="shared" si="3"/>
        <v>1933</v>
      </c>
      <c r="E106" s="2">
        <v>0</v>
      </c>
      <c r="F106" s="228">
        <v>0</v>
      </c>
    </row>
    <row r="107" spans="4:6" ht="24" customHeight="1" x14ac:dyDescent="0.2">
      <c r="D107" s="263">
        <f t="shared" si="3"/>
        <v>1932</v>
      </c>
      <c r="E107" s="2">
        <v>0</v>
      </c>
      <c r="F107" s="228">
        <v>0</v>
      </c>
    </row>
    <row r="108" spans="4:6" ht="24" customHeight="1" x14ac:dyDescent="0.2">
      <c r="D108" s="263">
        <f t="shared" si="3"/>
        <v>1931</v>
      </c>
      <c r="E108" s="2">
        <v>0</v>
      </c>
      <c r="F108" s="228">
        <v>0</v>
      </c>
    </row>
    <row r="109" spans="4:6" ht="24" customHeight="1" x14ac:dyDescent="0.2">
      <c r="D109" s="263">
        <f t="shared" si="3"/>
        <v>1930</v>
      </c>
      <c r="E109" s="2">
        <v>0</v>
      </c>
      <c r="F109" s="228">
        <v>0</v>
      </c>
    </row>
    <row r="110" spans="4:6" ht="24" customHeight="1" x14ac:dyDescent="0.2">
      <c r="D110" s="263">
        <f t="shared" si="3"/>
        <v>1929</v>
      </c>
      <c r="E110" s="2">
        <v>0</v>
      </c>
      <c r="F110" s="228">
        <v>0</v>
      </c>
    </row>
  </sheetData>
  <sheetProtection algorithmName="SHA-512" hashValue="t3jH6Am1eDD1/Ig3w5a9aE9tPgfg7bNOfJFN3rRgz1StqeQZhws4wY5KVxf9FeiFvUklhr9f20mvp4dOfPc9ZQ==" saltValue="XzOR9UXUrKvMswFTBnktjA==" spinCount="100000" sheet="1" objects="1" scenarios="1"/>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5E53F-7EE0-4CB6-B89C-C56D70579A40}">
  <sheetPr codeName="Sheet18"/>
  <dimension ref="A1:Q215"/>
  <sheetViews>
    <sheetView topLeftCell="A38" workbookViewId="0">
      <selection activeCell="B57" sqref="B57"/>
    </sheetView>
  </sheetViews>
  <sheetFormatPr defaultRowHeight="12.75" x14ac:dyDescent="0.2"/>
  <cols>
    <col min="1" max="1" width="24.7109375" customWidth="1"/>
    <col min="2" max="10" width="16.7109375" customWidth="1"/>
    <col min="11" max="11" width="32.7109375" customWidth="1"/>
    <col min="12" max="12" width="36.7109375" customWidth="1"/>
    <col min="13" max="13" width="6.7109375" customWidth="1"/>
    <col min="14" max="14" width="16.7109375" customWidth="1"/>
    <col min="15" max="15" width="6.7109375" customWidth="1"/>
    <col min="16" max="31" width="16.7109375" customWidth="1"/>
  </cols>
  <sheetData>
    <row r="1" spans="1:17" ht="36" customHeight="1" x14ac:dyDescent="0.2">
      <c r="A1" s="9" t="s">
        <v>107</v>
      </c>
      <c r="B1" s="89"/>
      <c r="C1" s="89"/>
      <c r="D1" s="89"/>
      <c r="E1" s="89"/>
      <c r="F1" s="89"/>
      <c r="G1" s="89"/>
      <c r="H1" s="89"/>
      <c r="I1" s="89"/>
      <c r="J1" s="89"/>
      <c r="L1" s="108" t="s">
        <v>228</v>
      </c>
      <c r="M1" s="89"/>
      <c r="N1" s="89"/>
      <c r="O1" s="89"/>
      <c r="P1" s="89"/>
      <c r="Q1" s="89"/>
    </row>
    <row r="2" spans="1:17" ht="36" customHeight="1" x14ac:dyDescent="0.2">
      <c r="L2" s="109"/>
    </row>
    <row r="3" spans="1:17" ht="24" customHeight="1" x14ac:dyDescent="0.2">
      <c r="B3" s="313" t="s">
        <v>82</v>
      </c>
      <c r="C3" s="313"/>
      <c r="D3" s="313" t="s">
        <v>83</v>
      </c>
      <c r="E3" s="313"/>
      <c r="F3" s="313" t="s">
        <v>84</v>
      </c>
      <c r="G3" s="313"/>
      <c r="I3" s="308" t="s">
        <v>170</v>
      </c>
      <c r="J3" s="308" t="s">
        <v>152</v>
      </c>
      <c r="L3" s="109"/>
    </row>
    <row r="4" spans="1:17" ht="24" customHeight="1" x14ac:dyDescent="0.2">
      <c r="A4" s="29" t="s">
        <v>78</v>
      </c>
      <c r="B4" s="39" t="s">
        <v>80</v>
      </c>
      <c r="C4" s="39" t="s">
        <v>81</v>
      </c>
      <c r="D4" s="39" t="s">
        <v>80</v>
      </c>
      <c r="E4" s="39" t="s">
        <v>81</v>
      </c>
      <c r="F4" s="39" t="s">
        <v>80</v>
      </c>
      <c r="G4" s="39" t="s">
        <v>81</v>
      </c>
      <c r="H4" s="27" t="s">
        <v>79</v>
      </c>
      <c r="I4" s="309"/>
      <c r="J4" s="309"/>
      <c r="L4" s="110" t="s">
        <v>89</v>
      </c>
      <c r="M4" s="103"/>
      <c r="N4" s="89"/>
      <c r="O4" s="89"/>
      <c r="P4" s="89"/>
    </row>
    <row r="5" spans="1:17" ht="24" customHeight="1" x14ac:dyDescent="0.2">
      <c r="A5" s="37">
        <v>50</v>
      </c>
      <c r="B5" s="38">
        <v>4.2090000000000183E-3</v>
      </c>
      <c r="C5" s="38">
        <v>2.7610000000000134E-3</v>
      </c>
      <c r="D5" s="38">
        <v>1.0377999999999998E-2</v>
      </c>
      <c r="E5" s="38">
        <v>4.4170000000000043E-3</v>
      </c>
      <c r="F5" s="38">
        <v>3.1809999999999894E-3</v>
      </c>
      <c r="G5" s="38">
        <v>1.4589999999999881E-3</v>
      </c>
      <c r="H5" s="38">
        <v>1.1200000000000099E-3</v>
      </c>
      <c r="I5" s="58">
        <v>36.200000000000003</v>
      </c>
      <c r="J5" s="99">
        <f t="shared" ref="J5:J23" si="0">I5</f>
        <v>36.200000000000003</v>
      </c>
      <c r="L5" s="111" t="s">
        <v>85</v>
      </c>
      <c r="M5" s="102">
        <v>6.5000000000000002E-2</v>
      </c>
      <c r="N5" s="107" t="s">
        <v>229</v>
      </c>
      <c r="P5" s="107"/>
    </row>
    <row r="6" spans="1:17" ht="24" customHeight="1" x14ac:dyDescent="0.2">
      <c r="A6" s="37">
        <f t="shared" ref="A6:A37" si="1">A5+1</f>
        <v>51</v>
      </c>
      <c r="B6" s="38">
        <v>4.5269999999999477E-3</v>
      </c>
      <c r="C6" s="38">
        <v>2.9169999999999474E-3</v>
      </c>
      <c r="D6" s="38">
        <v>1.0708999999999969E-2</v>
      </c>
      <c r="E6" s="38">
        <v>4.665999999999948E-3</v>
      </c>
      <c r="F6" s="38">
        <v>3.5779999999999701E-3</v>
      </c>
      <c r="G6" s="38">
        <v>1.7049999999999566E-3</v>
      </c>
      <c r="H6" s="38">
        <v>1.2389999999999901E-3</v>
      </c>
      <c r="I6" s="58">
        <v>35.299999999999997</v>
      </c>
      <c r="J6" s="100">
        <f t="shared" si="0"/>
        <v>35.299999999999997</v>
      </c>
      <c r="L6" s="111" t="s">
        <v>87</v>
      </c>
      <c r="M6" s="102">
        <v>7.2499999999999995E-2</v>
      </c>
      <c r="N6" s="107"/>
      <c r="P6" s="107"/>
    </row>
    <row r="7" spans="1:17" ht="24" customHeight="1" x14ac:dyDescent="0.2">
      <c r="A7" s="37">
        <f t="shared" si="1"/>
        <v>52</v>
      </c>
      <c r="B7" s="38">
        <v>4.8679999999999835E-3</v>
      </c>
      <c r="C7" s="38">
        <v>3.1079999999999997E-3</v>
      </c>
      <c r="D7" s="38">
        <v>1.1031000000000013E-2</v>
      </c>
      <c r="E7" s="38">
        <v>4.9719999999999764E-3</v>
      </c>
      <c r="F7" s="38">
        <v>3.9829999999999588E-3</v>
      </c>
      <c r="G7" s="38">
        <v>1.9799999999999818E-3</v>
      </c>
      <c r="H7" s="38">
        <v>1.3929999999999776E-3</v>
      </c>
      <c r="I7" s="58">
        <v>34.299999999999997</v>
      </c>
      <c r="J7" s="100">
        <f t="shared" si="0"/>
        <v>34.299999999999997</v>
      </c>
      <c r="L7" s="111" t="s">
        <v>88</v>
      </c>
      <c r="M7" s="102">
        <v>5.7500000000000002E-2</v>
      </c>
      <c r="N7" s="107"/>
      <c r="P7" s="107"/>
    </row>
    <row r="8" spans="1:17" ht="24" customHeight="1" x14ac:dyDescent="0.2">
      <c r="A8" s="37">
        <f t="shared" si="1"/>
        <v>53</v>
      </c>
      <c r="B8" s="38">
        <v>5.1999999999999824E-3</v>
      </c>
      <c r="C8" s="38">
        <v>3.3360000000000056E-3</v>
      </c>
      <c r="D8" s="38">
        <v>1.1261999999999994E-2</v>
      </c>
      <c r="E8" s="38">
        <v>5.3370000000000362E-3</v>
      </c>
      <c r="F8" s="38">
        <v>4.3640000000000345E-3</v>
      </c>
      <c r="G8" s="38">
        <v>2.2860000000000102E-3</v>
      </c>
      <c r="H8" s="38">
        <v>1.5720000000000178E-3</v>
      </c>
      <c r="I8" s="58">
        <v>33.4</v>
      </c>
      <c r="J8" s="100">
        <f t="shared" si="0"/>
        <v>33.4</v>
      </c>
    </row>
    <row r="9" spans="1:17" ht="24" customHeight="1" x14ac:dyDescent="0.2">
      <c r="A9" s="37">
        <f t="shared" si="1"/>
        <v>54</v>
      </c>
      <c r="B9" s="38">
        <v>5.5439999999999934E-3</v>
      </c>
      <c r="C9" s="38">
        <v>3.6019999999999941E-3</v>
      </c>
      <c r="D9" s="38">
        <v>1.1453000000000046E-2</v>
      </c>
      <c r="E9" s="38">
        <v>5.7639999999999914E-3</v>
      </c>
      <c r="F9" s="38">
        <v>4.73800000000002E-3</v>
      </c>
      <c r="G9" s="38">
        <v>2.6289999999999925E-3</v>
      </c>
      <c r="H9" s="38">
        <v>1.7810000000000326E-3</v>
      </c>
      <c r="I9" s="58">
        <v>32.5</v>
      </c>
      <c r="J9" s="100">
        <f t="shared" si="0"/>
        <v>32.5</v>
      </c>
      <c r="L9" s="110" t="s">
        <v>86</v>
      </c>
      <c r="M9" s="103"/>
      <c r="N9" s="89"/>
      <c r="O9" s="89"/>
      <c r="P9" s="89"/>
    </row>
    <row r="10" spans="1:17" ht="24" customHeight="1" x14ac:dyDescent="0.2">
      <c r="A10" s="37">
        <f t="shared" si="1"/>
        <v>55</v>
      </c>
      <c r="B10" s="38">
        <v>5.9120000000000283E-3</v>
      </c>
      <c r="C10" s="38">
        <v>3.9069999999999938E-3</v>
      </c>
      <c r="D10" s="38">
        <v>1.1620999999999992E-2</v>
      </c>
      <c r="E10" s="38">
        <v>6.2520000000000353E-3</v>
      </c>
      <c r="F10" s="38">
        <v>5.1149999999999807E-3</v>
      </c>
      <c r="G10" s="38">
        <v>3.0090000000000394E-3</v>
      </c>
      <c r="H10" s="38">
        <v>2.1010000000000195E-3</v>
      </c>
      <c r="I10" s="58">
        <v>31.6</v>
      </c>
      <c r="J10" s="100">
        <f t="shared" si="0"/>
        <v>31.6</v>
      </c>
      <c r="L10" s="111" t="s">
        <v>366</v>
      </c>
      <c r="M10" s="123">
        <f>CHOOSE(MATCH(Assumptions!$D$14,Tables!$L$5:$L$7,0),M5,M6,M7,"")</f>
        <v>6.5000000000000002E-2</v>
      </c>
      <c r="N10" s="107"/>
      <c r="P10" s="107"/>
    </row>
    <row r="11" spans="1:17" ht="24" customHeight="1" x14ac:dyDescent="0.2">
      <c r="A11" s="37">
        <f t="shared" si="1"/>
        <v>56</v>
      </c>
      <c r="B11" s="38">
        <v>6.3119999999999843E-3</v>
      </c>
      <c r="C11" s="38">
        <v>4.2470000000000008E-3</v>
      </c>
      <c r="D11" s="38">
        <v>1.1723999999999957E-2</v>
      </c>
      <c r="E11" s="38">
        <v>6.5420000000000478E-3</v>
      </c>
      <c r="F11" s="38">
        <v>5.4969999999999741E-3</v>
      </c>
      <c r="G11" s="38">
        <v>3.4250000000000114E-3</v>
      </c>
      <c r="H11" s="38">
        <v>2.5209999999999955E-3</v>
      </c>
      <c r="I11" s="58">
        <v>30.6</v>
      </c>
      <c r="J11" s="100">
        <f t="shared" si="0"/>
        <v>30.6</v>
      </c>
      <c r="L11" s="111" t="s">
        <v>365</v>
      </c>
      <c r="M11" s="105">
        <v>0</v>
      </c>
      <c r="N11" s="107" t="s">
        <v>221</v>
      </c>
      <c r="O11" s="106">
        <v>6</v>
      </c>
      <c r="P11" s="107" t="s">
        <v>222</v>
      </c>
    </row>
    <row r="12" spans="1:17" ht="24" customHeight="1" x14ac:dyDescent="0.2">
      <c r="A12" s="37">
        <f t="shared" si="1"/>
        <v>57</v>
      </c>
      <c r="B12" s="38">
        <v>6.7509999999999515E-3</v>
      </c>
      <c r="C12" s="38">
        <v>4.6230000000000437E-3</v>
      </c>
      <c r="D12" s="38">
        <v>1.1889999999999956E-2</v>
      </c>
      <c r="E12" s="38">
        <v>6.6779999999999617E-3</v>
      </c>
      <c r="F12" s="38">
        <v>5.8869999999999756E-3</v>
      </c>
      <c r="G12" s="38">
        <v>3.8780000000000481E-3</v>
      </c>
      <c r="H12" s="38">
        <v>2.8949999999999809E-3</v>
      </c>
      <c r="I12" s="58">
        <v>29.8</v>
      </c>
      <c r="J12" s="100">
        <f t="shared" si="0"/>
        <v>29.8</v>
      </c>
      <c r="L12" s="111" t="s">
        <v>364</v>
      </c>
      <c r="M12" s="105">
        <v>-0.3</v>
      </c>
      <c r="N12" s="107" t="s">
        <v>223</v>
      </c>
      <c r="O12" s="106">
        <v>3</v>
      </c>
      <c r="P12" s="107" t="s">
        <v>224</v>
      </c>
    </row>
    <row r="13" spans="1:17" ht="24" customHeight="1" x14ac:dyDescent="0.2">
      <c r="A13" s="37">
        <f t="shared" si="1"/>
        <v>58</v>
      </c>
      <c r="B13" s="38">
        <v>7.2299999999999587E-3</v>
      </c>
      <c r="C13" s="38">
        <v>5.0320000000000364E-3</v>
      </c>
      <c r="D13" s="38">
        <v>1.211300000000004E-2</v>
      </c>
      <c r="E13" s="38">
        <v>6.8390000000000395E-3</v>
      </c>
      <c r="F13" s="38">
        <v>6.2860000000000138E-3</v>
      </c>
      <c r="G13" s="38">
        <v>4.3630000000000058E-3</v>
      </c>
      <c r="H13" s="38">
        <v>3.3109999999999529E-3</v>
      </c>
      <c r="I13" s="58">
        <v>28.9</v>
      </c>
      <c r="J13" s="100">
        <f t="shared" si="0"/>
        <v>28.9</v>
      </c>
      <c r="L13" s="111" t="s">
        <v>376</v>
      </c>
      <c r="M13" s="106">
        <f>Charts!B48</f>
        <v>1942</v>
      </c>
      <c r="N13" s="107" t="s">
        <v>237</v>
      </c>
      <c r="O13" s="106">
        <v>35</v>
      </c>
      <c r="P13" s="107" t="s">
        <v>222</v>
      </c>
    </row>
    <row r="14" spans="1:17" ht="24" customHeight="1" x14ac:dyDescent="0.2">
      <c r="A14" s="37">
        <f t="shared" si="1"/>
        <v>59</v>
      </c>
      <c r="B14" s="38">
        <v>7.7549999999999564E-3</v>
      </c>
      <c r="C14" s="38">
        <v>5.4710000000000036E-3</v>
      </c>
      <c r="D14" s="38">
        <v>1.2392999999999987E-2</v>
      </c>
      <c r="E14" s="38">
        <v>7.0230000000000015E-3</v>
      </c>
      <c r="F14" s="38">
        <v>6.6920000000000313E-3</v>
      </c>
      <c r="G14" s="38">
        <v>4.8719999999999875E-3</v>
      </c>
      <c r="H14" s="38">
        <v>3.7719999999999976E-3</v>
      </c>
      <c r="I14" s="58">
        <v>28</v>
      </c>
      <c r="J14" s="100">
        <f t="shared" si="0"/>
        <v>28</v>
      </c>
    </row>
    <row r="15" spans="1:17" ht="24" customHeight="1" x14ac:dyDescent="0.2">
      <c r="A15" s="37">
        <f t="shared" si="1"/>
        <v>60</v>
      </c>
      <c r="B15" s="38">
        <v>8.3260000000000556E-3</v>
      </c>
      <c r="C15" s="38">
        <v>5.9329999999999661E-3</v>
      </c>
      <c r="D15" s="38">
        <v>1.2722000000000011E-2</v>
      </c>
      <c r="E15" s="38">
        <v>7.2259999999999547E-3</v>
      </c>
      <c r="F15" s="38">
        <v>7.105000000000028E-3</v>
      </c>
      <c r="G15" s="38">
        <v>5.3999999999999604E-3</v>
      </c>
      <c r="H15" s="38">
        <v>4.3050000000000033E-3</v>
      </c>
      <c r="I15" s="58">
        <v>27.1</v>
      </c>
      <c r="J15" s="100">
        <f t="shared" si="0"/>
        <v>27.1</v>
      </c>
      <c r="L15" s="112" t="s">
        <v>98</v>
      </c>
    </row>
    <row r="16" spans="1:17" ht="24" customHeight="1" x14ac:dyDescent="0.2">
      <c r="A16" s="37">
        <f t="shared" si="1"/>
        <v>61</v>
      </c>
      <c r="B16" s="38">
        <v>8.9449999999999807E-3</v>
      </c>
      <c r="C16" s="38">
        <v>6.42100000000001E-3</v>
      </c>
      <c r="D16" s="38">
        <v>1.3101000000000029E-2</v>
      </c>
      <c r="E16" s="38">
        <v>7.4629999999999974E-3</v>
      </c>
      <c r="F16" s="38">
        <v>7.5190000000000534E-3</v>
      </c>
      <c r="G16" s="38">
        <v>5.9399999999999453E-3</v>
      </c>
      <c r="H16" s="38">
        <v>4.9369999999999692E-3</v>
      </c>
      <c r="I16" s="58">
        <v>26.2</v>
      </c>
      <c r="J16" s="100">
        <f t="shared" si="0"/>
        <v>26.2</v>
      </c>
      <c r="L16" s="111" t="s">
        <v>61</v>
      </c>
    </row>
    <row r="17" spans="1:16" ht="24" customHeight="1" x14ac:dyDescent="0.2">
      <c r="A17" s="37">
        <f t="shared" si="1"/>
        <v>62</v>
      </c>
      <c r="B17" s="38">
        <v>9.6039999999999459E-3</v>
      </c>
      <c r="C17" s="38">
        <v>6.932999999999967E-3</v>
      </c>
      <c r="D17" s="38">
        <v>1.3525000000000009E-2</v>
      </c>
      <c r="E17" s="38">
        <v>7.7450000000000019E-3</v>
      </c>
      <c r="F17" s="38">
        <v>7.9310000000000214E-3</v>
      </c>
      <c r="G17" s="38">
        <v>6.4910000000000245E-3</v>
      </c>
      <c r="H17" s="38">
        <v>5.6300000000000239E-3</v>
      </c>
      <c r="I17" s="58">
        <v>25.4</v>
      </c>
      <c r="J17" s="100">
        <f t="shared" si="0"/>
        <v>25.4</v>
      </c>
      <c r="L17" s="111" t="s">
        <v>68</v>
      </c>
    </row>
    <row r="18" spans="1:16" ht="24" customHeight="1" x14ac:dyDescent="0.2">
      <c r="A18" s="37">
        <f t="shared" si="1"/>
        <v>63</v>
      </c>
      <c r="B18" s="38">
        <v>1.0311999999999988E-2</v>
      </c>
      <c r="C18" s="38">
        <v>7.4650000000000549E-3</v>
      </c>
      <c r="D18" s="38">
        <v>1.4015E-2</v>
      </c>
      <c r="E18" s="38">
        <v>8.0810000000000048E-3</v>
      </c>
      <c r="F18" s="38">
        <v>8.3490000000000508E-3</v>
      </c>
      <c r="G18" s="38">
        <v>7.044999999999968E-3</v>
      </c>
      <c r="H18" s="38">
        <v>6.4079999999999693E-3</v>
      </c>
      <c r="I18" s="58">
        <v>24.5</v>
      </c>
      <c r="J18" s="100">
        <f t="shared" si="0"/>
        <v>24.5</v>
      </c>
      <c r="L18" s="111" t="s">
        <v>60</v>
      </c>
    </row>
    <row r="19" spans="1:16" ht="24" customHeight="1" x14ac:dyDescent="0.2">
      <c r="A19" s="37">
        <f t="shared" si="1"/>
        <v>64</v>
      </c>
      <c r="B19" s="38">
        <v>1.106600000000002E-2</v>
      </c>
      <c r="C19" s="38">
        <v>8.0360000000000431E-3</v>
      </c>
      <c r="D19" s="38">
        <v>1.4581999999999984E-2</v>
      </c>
      <c r="E19" s="38">
        <v>8.5020000000000095E-3</v>
      </c>
      <c r="F19" s="38">
        <v>8.772000000000002E-3</v>
      </c>
      <c r="G19" s="38">
        <v>7.6150000000000384E-3</v>
      </c>
      <c r="H19" s="38">
        <v>7.1459999999999857E-3</v>
      </c>
      <c r="I19" s="58">
        <v>23.7</v>
      </c>
      <c r="J19" s="100">
        <f t="shared" si="0"/>
        <v>23.7</v>
      </c>
      <c r="L19" s="111" t="s">
        <v>62</v>
      </c>
    </row>
    <row r="20" spans="1:16" ht="24" customHeight="1" x14ac:dyDescent="0.2">
      <c r="A20" s="37">
        <f t="shared" si="1"/>
        <v>65</v>
      </c>
      <c r="B20" s="38">
        <v>1.1870000000000047E-2</v>
      </c>
      <c r="C20" s="38">
        <v>8.6469999999999603E-3</v>
      </c>
      <c r="D20" s="38">
        <v>1.5248999999999957E-2</v>
      </c>
      <c r="E20" s="38">
        <v>9.0189999999999992E-3</v>
      </c>
      <c r="F20" s="38">
        <v>9.216000000000002E-3</v>
      </c>
      <c r="G20" s="38">
        <v>8.2020000000000426E-3</v>
      </c>
      <c r="H20" s="38">
        <v>7.9430000000000334E-3</v>
      </c>
      <c r="I20" s="58">
        <v>22.9</v>
      </c>
      <c r="J20" s="100">
        <f t="shared" si="0"/>
        <v>22.9</v>
      </c>
      <c r="L20" s="111" t="s">
        <v>59</v>
      </c>
    </row>
    <row r="21" spans="1:16" ht="24" customHeight="1" x14ac:dyDescent="0.2">
      <c r="A21" s="37">
        <f t="shared" si="1"/>
        <v>66</v>
      </c>
      <c r="B21" s="38">
        <v>1.2750999999999957E-2</v>
      </c>
      <c r="C21" s="38">
        <v>9.3349999999999822E-3</v>
      </c>
      <c r="D21" s="38">
        <v>1.6059999999999963E-2</v>
      </c>
      <c r="E21" s="38">
        <v>9.6720000000000139E-3</v>
      </c>
      <c r="F21" s="38">
        <v>9.7000000000000419E-3</v>
      </c>
      <c r="G21" s="38">
        <v>8.835999999999955E-3</v>
      </c>
      <c r="H21" s="38">
        <v>8.839999999999959E-3</v>
      </c>
      <c r="I21" s="58">
        <v>22</v>
      </c>
      <c r="J21" s="100">
        <f t="shared" si="0"/>
        <v>22</v>
      </c>
      <c r="L21" s="111" t="s">
        <v>114</v>
      </c>
    </row>
    <row r="22" spans="1:16" ht="24" customHeight="1" x14ac:dyDescent="0.2">
      <c r="A22" s="37">
        <f t="shared" si="1"/>
        <v>67</v>
      </c>
      <c r="B22" s="38">
        <v>1.3715000000000033E-2</v>
      </c>
      <c r="C22" s="38">
        <v>1.0102999999999973E-2</v>
      </c>
      <c r="D22" s="38">
        <v>1.7028999999999961E-2</v>
      </c>
      <c r="E22" s="38">
        <v>1.0472000000000037E-2</v>
      </c>
      <c r="F22" s="38">
        <v>1.0237999999999969E-2</v>
      </c>
      <c r="G22" s="38">
        <v>9.5190000000000552E-3</v>
      </c>
      <c r="H22" s="38">
        <v>9.7230000000000372E-3</v>
      </c>
      <c r="I22" s="58">
        <v>21.2</v>
      </c>
      <c r="J22" s="100">
        <f t="shared" si="0"/>
        <v>21.2</v>
      </c>
      <c r="L22" s="111" t="s">
        <v>176</v>
      </c>
    </row>
    <row r="23" spans="1:16" ht="24" customHeight="1" x14ac:dyDescent="0.2">
      <c r="A23" s="37">
        <f t="shared" si="1"/>
        <v>68</v>
      </c>
      <c r="B23" s="38">
        <v>1.4797999999999978E-2</v>
      </c>
      <c r="C23" s="38">
        <v>1.0983999999999994E-2</v>
      </c>
      <c r="D23" s="38">
        <v>1.8193000000000015E-2</v>
      </c>
      <c r="E23" s="38">
        <v>1.1445999999999956E-2</v>
      </c>
      <c r="F23" s="38">
        <v>1.0858000000000034E-2</v>
      </c>
      <c r="G23" s="38">
        <v>1.0278000000000009E-2</v>
      </c>
      <c r="H23" s="38">
        <v>1.0687000000000002E-2</v>
      </c>
      <c r="I23" s="58">
        <v>20.399999999999999</v>
      </c>
      <c r="J23" s="100">
        <f t="shared" si="0"/>
        <v>20.399999999999999</v>
      </c>
      <c r="L23" s="111" t="s">
        <v>177</v>
      </c>
    </row>
    <row r="24" spans="1:16" ht="24" customHeight="1" x14ac:dyDescent="0.2">
      <c r="A24" s="37">
        <f t="shared" si="1"/>
        <v>69</v>
      </c>
      <c r="B24" s="38">
        <v>1.602899999999996E-2</v>
      </c>
      <c r="C24" s="38">
        <v>1.1985000000000023E-2</v>
      </c>
      <c r="D24" s="38">
        <v>1.9579000000000013E-2</v>
      </c>
      <c r="E24" s="38">
        <v>1.2602000000000002E-2</v>
      </c>
      <c r="F24" s="38">
        <v>1.1581999999999981E-2</v>
      </c>
      <c r="G24" s="38">
        <v>1.1122999999999994E-2</v>
      </c>
      <c r="H24" s="38">
        <v>1.1757000000000017E-2</v>
      </c>
      <c r="I24" s="58">
        <v>19.600000000000001</v>
      </c>
      <c r="J24" s="100">
        <f>I24</f>
        <v>19.600000000000001</v>
      </c>
      <c r="L24" s="111" t="s">
        <v>173</v>
      </c>
    </row>
    <row r="25" spans="1:16" ht="24" customHeight="1" x14ac:dyDescent="0.2">
      <c r="A25" s="37">
        <f t="shared" si="1"/>
        <v>70</v>
      </c>
      <c r="B25" s="38">
        <v>1.7418000000000045E-2</v>
      </c>
      <c r="C25" s="38">
        <v>1.313299999999995E-2</v>
      </c>
      <c r="D25" s="38">
        <v>2.1186000000000038E-2</v>
      </c>
      <c r="E25" s="38">
        <v>1.3961000000000001E-2</v>
      </c>
      <c r="F25" s="38">
        <v>1.2421000000000015E-2</v>
      </c>
      <c r="G25" s="38">
        <v>1.2073E-2</v>
      </c>
      <c r="H25" s="38">
        <v>1.293500000000003E-2</v>
      </c>
      <c r="I25" s="58">
        <v>18.8</v>
      </c>
      <c r="J25" s="100">
        <v>25.6</v>
      </c>
      <c r="L25" s="111"/>
    </row>
    <row r="26" spans="1:16" ht="24" customHeight="1" x14ac:dyDescent="0.2">
      <c r="A26" s="37">
        <f t="shared" si="1"/>
        <v>71</v>
      </c>
      <c r="B26" s="38">
        <v>1.8997999999999959E-2</v>
      </c>
      <c r="C26" s="38">
        <v>1.4437999999999951E-2</v>
      </c>
      <c r="D26" s="38">
        <v>2.3039999999999949E-2</v>
      </c>
      <c r="E26" s="38">
        <v>1.5527999999999986E-2</v>
      </c>
      <c r="F26" s="38">
        <v>1.3403999999999971E-2</v>
      </c>
      <c r="G26" s="38">
        <v>1.3139000000000012E-2</v>
      </c>
      <c r="H26" s="38">
        <v>1.4276999999999984E-2</v>
      </c>
      <c r="I26" s="58">
        <v>18</v>
      </c>
      <c r="J26" s="101">
        <v>26.5</v>
      </c>
      <c r="L26" s="112" t="s">
        <v>104</v>
      </c>
    </row>
    <row r="27" spans="1:16" ht="24" customHeight="1" x14ac:dyDescent="0.2">
      <c r="A27" s="37">
        <f t="shared" si="1"/>
        <v>72</v>
      </c>
      <c r="B27" s="38">
        <v>2.0804000000000045E-2</v>
      </c>
      <c r="C27" s="38">
        <v>1.5916999999999959E-2</v>
      </c>
      <c r="D27" s="38">
        <v>2.5171999999999972E-2</v>
      </c>
      <c r="E27" s="38">
        <v>1.730799999999999E-2</v>
      </c>
      <c r="F27" s="38">
        <v>1.4560000000000017E-2</v>
      </c>
      <c r="G27" s="38">
        <v>1.4340000000000019E-2</v>
      </c>
      <c r="H27" s="38">
        <v>1.5796000000000032E-2</v>
      </c>
      <c r="I27" s="58">
        <v>17.2</v>
      </c>
      <c r="J27" s="58">
        <v>27.4</v>
      </c>
      <c r="L27" s="111" t="s">
        <v>106</v>
      </c>
    </row>
    <row r="28" spans="1:16" ht="24" customHeight="1" x14ac:dyDescent="0.2">
      <c r="A28" s="37">
        <f t="shared" si="1"/>
        <v>73</v>
      </c>
      <c r="B28" s="38">
        <v>2.2854999999999959E-2</v>
      </c>
      <c r="C28" s="38">
        <v>1.7584000000000044E-2</v>
      </c>
      <c r="D28" s="38">
        <v>2.759199999999995E-2</v>
      </c>
      <c r="E28" s="38">
        <v>1.9310999999999967E-2</v>
      </c>
      <c r="F28" s="38">
        <v>1.5912999999999955E-2</v>
      </c>
      <c r="G28" s="38">
        <v>1.5692999999999957E-2</v>
      </c>
      <c r="H28" s="38">
        <v>1.7518000000000034E-2</v>
      </c>
      <c r="I28" s="58">
        <v>16.399999999999999</v>
      </c>
      <c r="J28" s="58">
        <v>26.5</v>
      </c>
      <c r="L28" s="111" t="s">
        <v>105</v>
      </c>
    </row>
    <row r="29" spans="1:16" ht="24" customHeight="1" x14ac:dyDescent="0.2">
      <c r="A29" s="37">
        <f t="shared" si="1"/>
        <v>74</v>
      </c>
      <c r="B29" s="38">
        <v>2.5174999999999947E-2</v>
      </c>
      <c r="C29" s="38">
        <v>1.9459000000000004E-2</v>
      </c>
      <c r="D29" s="38">
        <v>3.031600000000001E-2</v>
      </c>
      <c r="E29" s="38">
        <v>2.1542999999999979E-2</v>
      </c>
      <c r="F29" s="38">
        <v>1.7491999999999952E-2</v>
      </c>
      <c r="G29" s="38">
        <v>1.7221000000000042E-2</v>
      </c>
      <c r="H29" s="38">
        <v>1.9469999999999987E-2</v>
      </c>
      <c r="I29" s="58">
        <v>15.6</v>
      </c>
      <c r="J29" s="58">
        <v>25.5</v>
      </c>
      <c r="L29" s="111" t="s">
        <v>201</v>
      </c>
    </row>
    <row r="30" spans="1:16" ht="24" customHeight="1" x14ac:dyDescent="0.2">
      <c r="A30" s="37">
        <f t="shared" si="1"/>
        <v>75</v>
      </c>
      <c r="B30" s="38">
        <v>2.7804000000000051E-2</v>
      </c>
      <c r="C30" s="38">
        <v>2.1572000000000036E-2</v>
      </c>
      <c r="D30" s="38">
        <v>3.3379999999999965E-2</v>
      </c>
      <c r="E30" s="38">
        <v>2.4020999999999959E-2</v>
      </c>
      <c r="F30" s="38">
        <v>1.9338999999999995E-2</v>
      </c>
      <c r="G30" s="38">
        <v>1.8954000000000026E-2</v>
      </c>
      <c r="H30" s="38">
        <v>2.1684000000000037E-2</v>
      </c>
      <c r="I30" s="58">
        <v>14.8</v>
      </c>
      <c r="J30" s="58">
        <v>24.6</v>
      </c>
      <c r="L30" s="109"/>
    </row>
    <row r="31" spans="1:16" ht="24" customHeight="1" x14ac:dyDescent="0.2">
      <c r="A31" s="37">
        <f t="shared" si="1"/>
        <v>76</v>
      </c>
      <c r="B31" s="38">
        <v>3.0781999999999976E-2</v>
      </c>
      <c r="C31" s="38">
        <v>2.3950000000000027E-2</v>
      </c>
      <c r="D31" s="38">
        <v>3.6819000000000046E-2</v>
      </c>
      <c r="E31" s="38">
        <v>2.6761000000000035E-2</v>
      </c>
      <c r="F31" s="38">
        <v>2.1503999999999968E-2</v>
      </c>
      <c r="G31" s="38">
        <v>2.0927999999999947E-2</v>
      </c>
      <c r="H31" s="38">
        <v>2.421300000000004E-2</v>
      </c>
      <c r="I31" s="58">
        <v>14.1</v>
      </c>
      <c r="J31" s="58">
        <v>23.7</v>
      </c>
      <c r="L31" s="112" t="s">
        <v>110</v>
      </c>
      <c r="M31" s="103"/>
      <c r="N31" s="89"/>
      <c r="O31" s="89"/>
    </row>
    <row r="32" spans="1:16" ht="24" customHeight="1" x14ac:dyDescent="0.2">
      <c r="A32" s="37">
        <f t="shared" si="1"/>
        <v>77</v>
      </c>
      <c r="B32" s="38">
        <v>3.4143999999999952E-2</v>
      </c>
      <c r="C32" s="38">
        <v>2.6642000000000055E-2</v>
      </c>
      <c r="D32" s="38">
        <v>4.0664000000000033E-2</v>
      </c>
      <c r="E32" s="38">
        <v>2.9792999999999958E-2</v>
      </c>
      <c r="F32" s="38">
        <v>2.4028000000000049E-2</v>
      </c>
      <c r="G32" s="38">
        <v>2.3186999999999958E-2</v>
      </c>
      <c r="H32" s="38">
        <v>2.7097000000000038E-2</v>
      </c>
      <c r="I32" s="58">
        <v>13.3</v>
      </c>
      <c r="J32" s="58">
        <v>22.9</v>
      </c>
      <c r="L32" s="113" t="s">
        <v>109</v>
      </c>
      <c r="N32" s="107"/>
      <c r="P32" s="107"/>
    </row>
    <row r="33" spans="1:16" ht="24" customHeight="1" x14ac:dyDescent="0.2">
      <c r="A33" s="37">
        <f t="shared" si="1"/>
        <v>78</v>
      </c>
      <c r="B33" s="38">
        <v>3.795599999999999E-2</v>
      </c>
      <c r="C33" s="38">
        <v>2.9688999999999965E-2</v>
      </c>
      <c r="D33" s="38">
        <v>4.4982999999999995E-2</v>
      </c>
      <c r="E33" s="38">
        <v>3.3139999999999947E-2</v>
      </c>
      <c r="F33" s="38">
        <v>2.6984000000000008E-2</v>
      </c>
      <c r="G33" s="38">
        <v>2.5764000000000009E-2</v>
      </c>
      <c r="H33" s="38">
        <v>3.0387999999999971E-2</v>
      </c>
      <c r="I33" s="58">
        <v>12.6</v>
      </c>
      <c r="J33" s="58">
        <v>22</v>
      </c>
      <c r="L33" s="114" t="s">
        <v>111</v>
      </c>
      <c r="M33" s="105" t="s">
        <v>225</v>
      </c>
      <c r="N33" s="107"/>
      <c r="P33" s="107"/>
    </row>
    <row r="34" spans="1:16" ht="24" customHeight="1" x14ac:dyDescent="0.2">
      <c r="A34" s="37">
        <f t="shared" si="1"/>
        <v>79</v>
      </c>
      <c r="B34" s="38">
        <v>4.2240000000000055E-2</v>
      </c>
      <c r="C34" s="38">
        <v>3.3150000000000013E-2</v>
      </c>
      <c r="D34" s="38">
        <v>4.9785999999999997E-2</v>
      </c>
      <c r="E34" s="38">
        <v>3.6850999999999967E-2</v>
      </c>
      <c r="F34" s="38">
        <v>3.0410999999999966E-2</v>
      </c>
      <c r="G34" s="38">
        <v>2.8712999999999989E-2</v>
      </c>
      <c r="H34" s="38">
        <v>3.4147000000000038E-2</v>
      </c>
      <c r="I34" s="58">
        <v>11.9</v>
      </c>
      <c r="J34" s="58">
        <v>21.1</v>
      </c>
      <c r="L34" s="115" t="s">
        <v>385</v>
      </c>
      <c r="P34" s="107"/>
    </row>
    <row r="35" spans="1:16" ht="24" customHeight="1" x14ac:dyDescent="0.2">
      <c r="A35" s="37">
        <f t="shared" si="1"/>
        <v>80</v>
      </c>
      <c r="B35" s="38">
        <v>4.7085999999999961E-2</v>
      </c>
      <c r="C35" s="38">
        <v>3.7089999999999956E-2</v>
      </c>
      <c r="D35" s="38">
        <v>5.5167999999999995E-2</v>
      </c>
      <c r="E35" s="38">
        <v>4.0981999999999963E-2</v>
      </c>
      <c r="F35" s="38">
        <v>3.4402000000000044E-2</v>
      </c>
      <c r="G35" s="38">
        <v>3.208500000000003E-2</v>
      </c>
      <c r="H35" s="38">
        <v>3.8470000000000004E-2</v>
      </c>
      <c r="I35" s="58">
        <v>11.2</v>
      </c>
      <c r="J35" s="58">
        <v>20.2</v>
      </c>
      <c r="L35" s="115" t="s">
        <v>387</v>
      </c>
      <c r="P35" s="107" t="s">
        <v>388</v>
      </c>
    </row>
    <row r="36" spans="1:16" ht="24" customHeight="1" x14ac:dyDescent="0.2">
      <c r="A36" s="37">
        <f t="shared" si="1"/>
        <v>81</v>
      </c>
      <c r="B36" s="38">
        <v>5.2570000000000006E-2</v>
      </c>
      <c r="C36" s="38">
        <v>4.1583999999999954E-2</v>
      </c>
      <c r="D36" s="38">
        <v>6.1197999999999975E-2</v>
      </c>
      <c r="E36" s="38">
        <v>4.5602000000000031E-2</v>
      </c>
      <c r="F36" s="38">
        <v>3.904300000000005E-2</v>
      </c>
      <c r="G36" s="38">
        <v>3.5936999999999997E-2</v>
      </c>
      <c r="H36" s="38">
        <v>4.315100000000005E-2</v>
      </c>
      <c r="I36" s="58">
        <v>10.5</v>
      </c>
      <c r="J36" s="58">
        <v>19.399999999999999</v>
      </c>
    </row>
    <row r="37" spans="1:16" ht="24" customHeight="1" x14ac:dyDescent="0.2">
      <c r="A37" s="37">
        <f t="shared" si="1"/>
        <v>82</v>
      </c>
      <c r="B37" s="38">
        <v>5.8765999999999985E-2</v>
      </c>
      <c r="C37" s="38">
        <v>4.6656000000000031E-2</v>
      </c>
      <c r="D37" s="38">
        <v>6.794E-2</v>
      </c>
      <c r="E37" s="38">
        <v>5.0726999999999967E-2</v>
      </c>
      <c r="F37" s="38">
        <v>4.4425999999999966E-2</v>
      </c>
      <c r="G37" s="38">
        <v>4.0290000000000048E-2</v>
      </c>
      <c r="H37" s="38">
        <v>4.8476999999999992E-2</v>
      </c>
      <c r="I37" s="58">
        <v>9.9</v>
      </c>
      <c r="J37" s="58">
        <v>18.5</v>
      </c>
      <c r="L37" s="112" t="s">
        <v>155</v>
      </c>
      <c r="M37" s="103"/>
      <c r="N37" s="89"/>
      <c r="O37" s="89"/>
      <c r="P37" s="89"/>
    </row>
    <row r="38" spans="1:16" ht="24" customHeight="1" x14ac:dyDescent="0.2">
      <c r="A38" s="37">
        <f t="shared" ref="A38:A55" si="2">A37+1</f>
        <v>83</v>
      </c>
      <c r="B38" s="38">
        <v>6.5756999999999954E-2</v>
      </c>
      <c r="C38" s="38">
        <v>5.2447000000000021E-2</v>
      </c>
      <c r="D38" s="38">
        <v>7.5458999999999943E-2</v>
      </c>
      <c r="E38" s="38">
        <v>5.6502000000000052E-2</v>
      </c>
      <c r="F38" s="38">
        <v>5.0651000000000002E-2</v>
      </c>
      <c r="G38" s="38">
        <v>4.5259999999999967E-2</v>
      </c>
      <c r="H38" s="38">
        <v>5.4576999999999987E-2</v>
      </c>
      <c r="I38" s="58">
        <v>9.3000000000000007</v>
      </c>
      <c r="J38" s="58">
        <v>17.7</v>
      </c>
      <c r="L38" s="111" t="s">
        <v>156</v>
      </c>
      <c r="M38" s="105">
        <v>1</v>
      </c>
      <c r="N38" s="107" t="s">
        <v>226</v>
      </c>
      <c r="O38" s="105">
        <v>1</v>
      </c>
      <c r="P38" s="107" t="s">
        <v>227</v>
      </c>
    </row>
    <row r="39" spans="1:16" ht="24" customHeight="1" x14ac:dyDescent="0.2">
      <c r="A39" s="37">
        <f t="shared" si="2"/>
        <v>84</v>
      </c>
      <c r="B39" s="38">
        <v>7.3670000000000013E-2</v>
      </c>
      <c r="C39" s="38">
        <v>5.8993999999999991E-2</v>
      </c>
      <c r="D39" s="38">
        <v>8.3864999999999967E-2</v>
      </c>
      <c r="E39" s="38">
        <v>6.2961999999999962E-2</v>
      </c>
      <c r="F39" s="38">
        <v>5.7861000000000051E-2</v>
      </c>
      <c r="G39" s="38">
        <v>5.088400000000004E-2</v>
      </c>
      <c r="H39" s="38">
        <v>6.1528999999999945E-2</v>
      </c>
      <c r="I39" s="58">
        <v>8.6999999999999993</v>
      </c>
      <c r="J39" s="58">
        <v>16.8</v>
      </c>
      <c r="L39" s="111" t="s">
        <v>153</v>
      </c>
      <c r="M39" s="105">
        <v>1</v>
      </c>
      <c r="N39" s="107" t="s">
        <v>226</v>
      </c>
      <c r="O39" s="105">
        <v>0.5</v>
      </c>
      <c r="P39" s="107" t="s">
        <v>227</v>
      </c>
    </row>
    <row r="40" spans="1:16" ht="24" customHeight="1" x14ac:dyDescent="0.2">
      <c r="A40" s="37">
        <f t="shared" si="2"/>
        <v>85</v>
      </c>
      <c r="B40" s="38">
        <v>8.2559999999999967E-2</v>
      </c>
      <c r="C40" s="38">
        <v>6.636299999999995E-2</v>
      </c>
      <c r="D40" s="38">
        <v>9.3185999999999991E-2</v>
      </c>
      <c r="E40" s="38">
        <v>7.0177000000000045E-2</v>
      </c>
      <c r="F40" s="38">
        <v>6.6151999999999989E-2</v>
      </c>
      <c r="G40" s="38">
        <v>5.7228999999999974E-2</v>
      </c>
      <c r="H40" s="38">
        <v>6.9393000000000038E-2</v>
      </c>
      <c r="I40" s="58">
        <v>8.1</v>
      </c>
      <c r="J40" s="58">
        <v>16</v>
      </c>
      <c r="L40" s="111" t="s">
        <v>157</v>
      </c>
      <c r="M40" s="105">
        <v>0.5</v>
      </c>
      <c r="N40" s="107" t="s">
        <v>226</v>
      </c>
      <c r="O40" s="105">
        <v>0</v>
      </c>
      <c r="P40" s="107" t="s">
        <v>227</v>
      </c>
    </row>
    <row r="41" spans="1:16" ht="24" customHeight="1" x14ac:dyDescent="0.2">
      <c r="A41" s="37">
        <f t="shared" si="2"/>
        <v>86</v>
      </c>
      <c r="B41" s="38">
        <v>9.2550000000000021E-2</v>
      </c>
      <c r="C41" s="38">
        <v>7.464599999999999E-2</v>
      </c>
      <c r="D41" s="38">
        <v>0.10352399999999995</v>
      </c>
      <c r="E41" s="38">
        <v>7.8242999999999951E-2</v>
      </c>
      <c r="F41" s="38">
        <v>7.5690000000000035E-2</v>
      </c>
      <c r="G41" s="38">
        <v>6.438900000000003E-2</v>
      </c>
      <c r="H41" s="38">
        <v>7.8322000000000003E-2</v>
      </c>
      <c r="I41" s="58">
        <v>7.6</v>
      </c>
      <c r="J41" s="58">
        <v>15.2</v>
      </c>
      <c r="L41" s="115"/>
    </row>
    <row r="42" spans="1:16" ht="24" customHeight="1" x14ac:dyDescent="0.2">
      <c r="A42" s="37">
        <f t="shared" si="2"/>
        <v>87</v>
      </c>
      <c r="B42" s="38">
        <v>0.10372400000000004</v>
      </c>
      <c r="C42" s="38">
        <v>8.3933000000000035E-2</v>
      </c>
      <c r="D42" s="38">
        <v>0.11493900000000001</v>
      </c>
      <c r="E42" s="38">
        <v>8.7246000000000046E-2</v>
      </c>
      <c r="F42" s="38">
        <v>8.6616000000000026E-2</v>
      </c>
      <c r="G42" s="38">
        <v>7.2459999999999969E-2</v>
      </c>
      <c r="H42" s="38">
        <v>8.8365999999999945E-2</v>
      </c>
      <c r="I42" s="58">
        <v>7.1</v>
      </c>
      <c r="J42" s="58">
        <v>14.4</v>
      </c>
      <c r="L42" s="110" t="s">
        <v>238</v>
      </c>
      <c r="M42" s="103"/>
      <c r="N42" s="89"/>
      <c r="O42" s="89"/>
      <c r="P42" s="89"/>
    </row>
    <row r="43" spans="1:16" ht="24" customHeight="1" x14ac:dyDescent="0.2">
      <c r="A43" s="37">
        <f t="shared" si="2"/>
        <v>88</v>
      </c>
      <c r="B43" s="38">
        <v>0.11618499999999998</v>
      </c>
      <c r="C43" s="38">
        <v>9.4234999999999958E-2</v>
      </c>
      <c r="D43" s="38">
        <v>0.12751599999999996</v>
      </c>
      <c r="E43" s="38">
        <v>9.7196999999999978E-2</v>
      </c>
      <c r="F43" s="38">
        <v>9.9099000000000048E-2</v>
      </c>
      <c r="G43" s="38">
        <v>8.1474999999999964E-2</v>
      </c>
      <c r="H43" s="38">
        <v>9.9597000000000047E-2</v>
      </c>
      <c r="I43" s="58">
        <v>6.6</v>
      </c>
      <c r="J43" s="58">
        <v>13.7</v>
      </c>
      <c r="L43" s="111" t="s">
        <v>260</v>
      </c>
      <c r="M43" s="123">
        <f>Assumptions!C9</f>
        <v>2.5000000000000001E-2</v>
      </c>
      <c r="N43" s="107"/>
      <c r="P43" s="107"/>
    </row>
    <row r="44" spans="1:16" ht="24" customHeight="1" x14ac:dyDescent="0.2">
      <c r="A44" s="37">
        <f t="shared" si="2"/>
        <v>89</v>
      </c>
      <c r="B44" s="38">
        <v>0.13000299999999998</v>
      </c>
      <c r="C44" s="38">
        <v>0.10562499999999997</v>
      </c>
      <c r="D44" s="38">
        <v>0.14129900000000006</v>
      </c>
      <c r="E44" s="38">
        <v>0.10816599999999998</v>
      </c>
      <c r="F44" s="38">
        <v>0.11329800000000001</v>
      </c>
      <c r="G44" s="38">
        <v>9.1517999999999988E-2</v>
      </c>
      <c r="H44" s="38">
        <v>0.11205699999999996</v>
      </c>
      <c r="I44" s="58">
        <v>6.1</v>
      </c>
      <c r="J44" s="58">
        <v>12.9</v>
      </c>
      <c r="L44" s="111" t="s">
        <v>261</v>
      </c>
      <c r="M44" s="102">
        <v>5.0000000000000001E-3</v>
      </c>
      <c r="N44" s="107" t="s">
        <v>230</v>
      </c>
      <c r="O44" s="106">
        <v>15</v>
      </c>
      <c r="P44" s="107" t="s">
        <v>222</v>
      </c>
    </row>
    <row r="45" spans="1:16" ht="24" customHeight="1" x14ac:dyDescent="0.2">
      <c r="A45" s="37">
        <f t="shared" si="2"/>
        <v>90</v>
      </c>
      <c r="B45" s="38">
        <v>0.14529499999999995</v>
      </c>
      <c r="C45" s="38">
        <v>0.11828400000000006</v>
      </c>
      <c r="D45" s="38">
        <v>0.156385</v>
      </c>
      <c r="E45" s="38">
        <v>0.12033399999999994</v>
      </c>
      <c r="F45" s="38">
        <v>0.12942200000000004</v>
      </c>
      <c r="G45" s="38">
        <v>0.10277599999999998</v>
      </c>
      <c r="H45" s="38">
        <v>0.12590900000000005</v>
      </c>
      <c r="I45" s="58">
        <v>5.7</v>
      </c>
      <c r="J45" s="58">
        <v>12.2</v>
      </c>
      <c r="L45" s="111" t="s">
        <v>241</v>
      </c>
      <c r="M45" s="106">
        <f>Charts!B48</f>
        <v>1942</v>
      </c>
      <c r="N45" s="107" t="s">
        <v>237</v>
      </c>
      <c r="O45" s="106">
        <v>35</v>
      </c>
      <c r="P45" s="107" t="s">
        <v>222</v>
      </c>
    </row>
    <row r="46" spans="1:16" ht="24" customHeight="1" x14ac:dyDescent="0.2">
      <c r="A46" s="37">
        <f t="shared" si="2"/>
        <v>91</v>
      </c>
      <c r="B46" s="38">
        <v>0.16140500000000002</v>
      </c>
      <c r="C46" s="38">
        <v>0.13198399999999999</v>
      </c>
      <c r="D46" s="38">
        <v>0.17195099999999996</v>
      </c>
      <c r="E46" s="38">
        <v>0.13334800000000002</v>
      </c>
      <c r="F46" s="38">
        <v>0.14700000000000002</v>
      </c>
      <c r="G46" s="38">
        <v>0.11507500000000004</v>
      </c>
      <c r="H46" s="38">
        <v>0.14071100000000003</v>
      </c>
      <c r="I46" s="58">
        <v>5.3</v>
      </c>
      <c r="J46" s="58">
        <v>11.5</v>
      </c>
      <c r="L46" s="109"/>
    </row>
    <row r="47" spans="1:16" ht="24" customHeight="1" x14ac:dyDescent="0.2">
      <c r="A47" s="37">
        <f t="shared" si="2"/>
        <v>92</v>
      </c>
      <c r="B47" s="38">
        <v>0.17795399999999995</v>
      </c>
      <c r="C47" s="38">
        <v>0.14650200000000002</v>
      </c>
      <c r="D47" s="38">
        <v>0.18762400000000001</v>
      </c>
      <c r="E47" s="38">
        <v>0.14699099999999998</v>
      </c>
      <c r="F47" s="38">
        <v>0.16563099999999997</v>
      </c>
      <c r="G47" s="38">
        <v>0.12825399999999998</v>
      </c>
      <c r="H47" s="38">
        <v>0.15616600000000003</v>
      </c>
      <c r="I47" s="58">
        <v>4.9000000000000004</v>
      </c>
      <c r="J47" s="58">
        <v>10.8</v>
      </c>
      <c r="L47" s="110" t="s">
        <v>257</v>
      </c>
      <c r="M47" s="103"/>
      <c r="N47" s="89"/>
    </row>
    <row r="48" spans="1:16" ht="24" customHeight="1" x14ac:dyDescent="0.2">
      <c r="A48" s="37">
        <f t="shared" si="2"/>
        <v>93</v>
      </c>
      <c r="B48" s="38">
        <v>0.19450999999999996</v>
      </c>
      <c r="C48" s="38">
        <v>0.16166999999999998</v>
      </c>
      <c r="D48" s="38">
        <v>0.20293899999999998</v>
      </c>
      <c r="E48" s="38">
        <v>0.16166999999999998</v>
      </c>
      <c r="F48" s="38">
        <v>0.18493099999999996</v>
      </c>
      <c r="G48" s="38">
        <v>0.14219700000000002</v>
      </c>
      <c r="H48" s="38">
        <v>0.171983</v>
      </c>
      <c r="I48" s="58">
        <v>4.5999999999999996</v>
      </c>
      <c r="J48" s="58">
        <v>10.1</v>
      </c>
      <c r="L48" s="111" t="s">
        <v>258</v>
      </c>
      <c r="M48" s="123">
        <f>Assumptions!$C$10</f>
        <v>2.2499999999999999E-2</v>
      </c>
      <c r="N48" s="107"/>
      <c r="P48" s="107"/>
    </row>
    <row r="49" spans="1:16" ht="24" customHeight="1" x14ac:dyDescent="0.2">
      <c r="A49" s="37">
        <f t="shared" si="2"/>
        <v>94</v>
      </c>
      <c r="B49" s="38">
        <v>0.21103499999999997</v>
      </c>
      <c r="C49" s="38">
        <v>0.17737800000000004</v>
      </c>
      <c r="D49" s="38">
        <v>0.217858</v>
      </c>
      <c r="E49" s="38">
        <v>0.17737800000000004</v>
      </c>
      <c r="F49" s="38">
        <v>0.20486300000000002</v>
      </c>
      <c r="G49" s="38">
        <v>0.15684300000000007</v>
      </c>
      <c r="H49" s="38">
        <v>0.18809100000000001</v>
      </c>
      <c r="I49" s="58">
        <v>4.3</v>
      </c>
      <c r="J49" s="58">
        <v>9.5</v>
      </c>
      <c r="L49" s="111" t="s">
        <v>264</v>
      </c>
      <c r="M49" s="102">
        <v>2.5000000000000001E-3</v>
      </c>
      <c r="N49" s="107" t="s">
        <v>265</v>
      </c>
    </row>
    <row r="50" spans="1:16" ht="24" customHeight="1" x14ac:dyDescent="0.2">
      <c r="A50" s="37">
        <f t="shared" si="2"/>
        <v>95</v>
      </c>
      <c r="B50" s="38">
        <v>0.22729599999999994</v>
      </c>
      <c r="C50" s="38">
        <v>0.19359100000000007</v>
      </c>
      <c r="D50" s="38">
        <v>0.23214500000000005</v>
      </c>
      <c r="E50" s="38">
        <v>0.19359100000000007</v>
      </c>
      <c r="F50" s="38">
        <v>0.22519400000000001</v>
      </c>
      <c r="G50" s="38">
        <v>0.17219300000000004</v>
      </c>
      <c r="H50" s="38">
        <v>0.20431299999999997</v>
      </c>
      <c r="I50" s="58">
        <v>4</v>
      </c>
      <c r="J50" s="58">
        <v>8.9</v>
      </c>
    </row>
    <row r="51" spans="1:16" ht="24" customHeight="1" x14ac:dyDescent="0.2">
      <c r="A51" s="37">
        <f t="shared" si="2"/>
        <v>96</v>
      </c>
      <c r="B51" s="38">
        <v>0.245556</v>
      </c>
      <c r="C51" s="38">
        <v>0.21094100000000005</v>
      </c>
      <c r="D51" s="38">
        <v>0.24809300000000001</v>
      </c>
      <c r="E51" s="38">
        <v>0.21094100000000005</v>
      </c>
      <c r="F51" s="38">
        <v>0.245556</v>
      </c>
      <c r="G51" s="38">
        <v>0.18884699999999999</v>
      </c>
      <c r="H51" s="38">
        <v>0.22236900000000004</v>
      </c>
      <c r="I51" s="58">
        <v>3.7</v>
      </c>
      <c r="J51" s="58">
        <v>8.4</v>
      </c>
      <c r="L51" s="110" t="s">
        <v>231</v>
      </c>
      <c r="M51" s="103"/>
      <c r="N51" s="89"/>
      <c r="O51" s="89"/>
      <c r="P51" s="89"/>
    </row>
    <row r="52" spans="1:16" ht="24" customHeight="1" x14ac:dyDescent="0.2">
      <c r="A52" s="37">
        <f t="shared" si="2"/>
        <v>97</v>
      </c>
      <c r="B52" s="38">
        <v>0.26413399999999998</v>
      </c>
      <c r="C52" s="38">
        <v>0.22903799999999996</v>
      </c>
      <c r="D52" s="38">
        <v>0.26413399999999998</v>
      </c>
      <c r="E52" s="38">
        <v>0.22903799999999996</v>
      </c>
      <c r="F52" s="38">
        <v>0.26413399999999998</v>
      </c>
      <c r="G52" s="38">
        <v>0.20650400000000002</v>
      </c>
      <c r="H52" s="38">
        <v>0.24099499999999996</v>
      </c>
      <c r="I52" s="58">
        <v>3.4</v>
      </c>
      <c r="J52" s="58">
        <v>7.8</v>
      </c>
      <c r="L52" s="111" t="s">
        <v>246</v>
      </c>
      <c r="M52" s="122">
        <v>0</v>
      </c>
      <c r="N52" s="107"/>
      <c r="P52" s="107"/>
    </row>
    <row r="53" spans="1:16" ht="24" customHeight="1" x14ac:dyDescent="0.2">
      <c r="A53" s="37">
        <f t="shared" si="2"/>
        <v>98</v>
      </c>
      <c r="B53" s="38">
        <v>0.28339700000000001</v>
      </c>
      <c r="C53" s="38">
        <v>0.24785499999999994</v>
      </c>
      <c r="D53" s="38">
        <v>0.28339700000000001</v>
      </c>
      <c r="E53" s="38">
        <v>0.24785499999999994</v>
      </c>
      <c r="F53" s="38">
        <v>0.28339700000000001</v>
      </c>
      <c r="G53" s="38">
        <v>0.22518400000000005</v>
      </c>
      <c r="H53" s="38">
        <v>0.26037399999999999</v>
      </c>
      <c r="I53" s="58">
        <v>3.2</v>
      </c>
      <c r="J53" s="58">
        <v>7.3</v>
      </c>
      <c r="L53" s="111" t="s">
        <v>232</v>
      </c>
      <c r="M53" s="104">
        <v>0.02</v>
      </c>
      <c r="N53" s="107" t="s">
        <v>259</v>
      </c>
      <c r="O53" s="106">
        <v>20</v>
      </c>
      <c r="P53" s="107" t="s">
        <v>224</v>
      </c>
    </row>
    <row r="54" spans="1:16" ht="24" customHeight="1" x14ac:dyDescent="0.2">
      <c r="A54" s="37">
        <f t="shared" si="2"/>
        <v>99</v>
      </c>
      <c r="B54" s="38">
        <v>0.30317400000000005</v>
      </c>
      <c r="C54" s="38">
        <v>0.26725200000000005</v>
      </c>
      <c r="D54" s="38">
        <v>0.30317400000000005</v>
      </c>
      <c r="E54" s="38">
        <v>0.26725200000000005</v>
      </c>
      <c r="F54" s="38">
        <v>0.30317400000000005</v>
      </c>
      <c r="G54" s="38">
        <v>0.24480599999999997</v>
      </c>
      <c r="H54" s="38">
        <v>0.28035600000000005</v>
      </c>
      <c r="I54" s="58">
        <v>3</v>
      </c>
      <c r="J54" s="58">
        <v>6.8</v>
      </c>
      <c r="L54" s="109"/>
    </row>
    <row r="55" spans="1:16" ht="24" customHeight="1" x14ac:dyDescent="0.2">
      <c r="A55" s="37">
        <f t="shared" si="2"/>
        <v>100</v>
      </c>
      <c r="B55" s="38">
        <v>0.32332099999999997</v>
      </c>
      <c r="C55" s="38">
        <v>0.28713600000000006</v>
      </c>
      <c r="D55" s="38">
        <v>0.32332099999999997</v>
      </c>
      <c r="E55" s="38">
        <v>0.28713600000000006</v>
      </c>
      <c r="F55" s="38">
        <v>0.32332099999999997</v>
      </c>
      <c r="G55" s="38">
        <v>0.26532599999999995</v>
      </c>
      <c r="H55" s="38">
        <v>0.30074800000000002</v>
      </c>
      <c r="I55" s="58">
        <v>2.8</v>
      </c>
      <c r="J55" s="58">
        <v>6.4</v>
      </c>
      <c r="L55" s="110" t="s">
        <v>239</v>
      </c>
      <c r="M55" s="103"/>
      <c r="N55" s="89"/>
    </row>
    <row r="56" spans="1:16" ht="24" customHeight="1" x14ac:dyDescent="0.2">
      <c r="L56" s="111" t="s">
        <v>262</v>
      </c>
      <c r="M56" s="122">
        <f>Assumptions!C11</f>
        <v>0.05</v>
      </c>
      <c r="N56" s="107"/>
      <c r="P56" s="107"/>
    </row>
    <row r="57" spans="1:16" ht="24" customHeight="1" x14ac:dyDescent="0.2">
      <c r="A57" s="22" t="s">
        <v>128</v>
      </c>
      <c r="B57" s="314">
        <v>2026</v>
      </c>
      <c r="C57" s="25" t="s">
        <v>383</v>
      </c>
      <c r="D57" s="25" t="s">
        <v>384</v>
      </c>
      <c r="E57" s="25" t="s">
        <v>392</v>
      </c>
      <c r="F57" s="268" t="s">
        <v>393</v>
      </c>
      <c r="L57" s="111" t="s">
        <v>263</v>
      </c>
      <c r="M57" s="104">
        <v>0.02</v>
      </c>
      <c r="N57" s="107" t="s">
        <v>240</v>
      </c>
      <c r="O57" s="118"/>
      <c r="P57" s="107"/>
    </row>
    <row r="58" spans="1:16" ht="24" customHeight="1" x14ac:dyDescent="0.2">
      <c r="A58" s="1" t="s">
        <v>28</v>
      </c>
      <c r="B58" s="2">
        <f>IF(Assumptions!$B$3="M",Tables!D58,Tables!C58)</f>
        <v>32200</v>
      </c>
      <c r="C58" s="49">
        <v>16100</v>
      </c>
      <c r="D58" s="49">
        <v>32200</v>
      </c>
      <c r="E58" s="49">
        <v>2000</v>
      </c>
      <c r="F58" s="49">
        <v>6000</v>
      </c>
      <c r="G58" s="269"/>
    </row>
    <row r="59" spans="1:16" ht="24" customHeight="1" x14ac:dyDescent="0.2">
      <c r="A59" s="7">
        <v>0.1</v>
      </c>
      <c r="B59" s="2">
        <f>IF(Assumptions!$B$3="M",Tables!D59,Tables!C59)</f>
        <v>24800</v>
      </c>
      <c r="C59" s="50">
        <v>12400</v>
      </c>
      <c r="D59" s="50">
        <v>24800</v>
      </c>
      <c r="F59" s="270">
        <v>2025</v>
      </c>
      <c r="G59" s="269" t="s">
        <v>398</v>
      </c>
      <c r="L59" s="112" t="s">
        <v>267</v>
      </c>
      <c r="M59" s="125">
        <f>CHOOSE(MATCH(Assumptions!D18,Tables!L60:L62,0),Tables!M60,Tables!M61,Tables!M62)</f>
        <v>0.5</v>
      </c>
    </row>
    <row r="60" spans="1:16" ht="24" customHeight="1" x14ac:dyDescent="0.2">
      <c r="A60" s="7">
        <v>0.12</v>
      </c>
      <c r="B60" s="2">
        <f>IF(Assumptions!$B$3="M",Tables!D60,Tables!C60)</f>
        <v>100800</v>
      </c>
      <c r="C60" s="50">
        <v>50400</v>
      </c>
      <c r="D60" s="50">
        <v>100800</v>
      </c>
      <c r="F60" s="270">
        <v>2028</v>
      </c>
      <c r="G60" s="269" t="s">
        <v>399</v>
      </c>
      <c r="L60" s="111" t="s">
        <v>268</v>
      </c>
      <c r="M60" s="105">
        <v>0.5</v>
      </c>
      <c r="N60" s="107"/>
      <c r="O60" s="107"/>
      <c r="P60" s="107"/>
    </row>
    <row r="61" spans="1:16" ht="24" customHeight="1" x14ac:dyDescent="0.2">
      <c r="A61" s="7">
        <v>0.22</v>
      </c>
      <c r="B61" s="2">
        <f>IF(Assumptions!$B$3="M",Tables!D61,Tables!C61)</f>
        <v>211400</v>
      </c>
      <c r="C61" s="50">
        <v>105700</v>
      </c>
      <c r="D61" s="50">
        <v>211400</v>
      </c>
      <c r="F61" s="49">
        <v>75000</v>
      </c>
      <c r="G61" s="269" t="s">
        <v>383</v>
      </c>
      <c r="L61" s="111" t="s">
        <v>269</v>
      </c>
      <c r="M61" s="105">
        <v>1</v>
      </c>
      <c r="N61" s="107"/>
      <c r="O61" s="107"/>
      <c r="P61" s="107"/>
    </row>
    <row r="62" spans="1:16" ht="24" customHeight="1" x14ac:dyDescent="0.2">
      <c r="A62" s="7">
        <v>0.24</v>
      </c>
      <c r="B62" s="2">
        <f>IF(Assumptions!$B$3="M",Tables!D62,Tables!C62)</f>
        <v>403550</v>
      </c>
      <c r="C62" s="50">
        <v>201775</v>
      </c>
      <c r="D62" s="50">
        <v>403550</v>
      </c>
      <c r="F62" s="49">
        <v>150000</v>
      </c>
      <c r="G62" s="269" t="s">
        <v>384</v>
      </c>
      <c r="L62" s="111" t="s">
        <v>270</v>
      </c>
      <c r="M62" s="105">
        <v>0</v>
      </c>
      <c r="N62" s="107"/>
      <c r="O62" s="107"/>
      <c r="P62" s="107"/>
    </row>
    <row r="63" spans="1:16" ht="24" customHeight="1" x14ac:dyDescent="0.2">
      <c r="A63" s="7">
        <v>0.32</v>
      </c>
      <c r="B63" s="2">
        <f>IF(Assumptions!$B$3="M",Tables!D63,Tables!C63)</f>
        <v>512450</v>
      </c>
      <c r="C63" s="50">
        <v>256225</v>
      </c>
      <c r="D63" s="50">
        <v>512450</v>
      </c>
      <c r="F63" s="2">
        <f>IF(Assumptions!$B$3="M",F62,F61)</f>
        <v>150000</v>
      </c>
      <c r="G63" s="269" t="s">
        <v>401</v>
      </c>
    </row>
    <row r="64" spans="1:16" ht="24" customHeight="1" x14ac:dyDescent="0.2">
      <c r="A64" s="7">
        <v>0.35</v>
      </c>
      <c r="B64" s="2">
        <f>IF(Assumptions!$B$3="M",Tables!D64,Tables!C64)</f>
        <v>768700</v>
      </c>
      <c r="C64" s="50">
        <v>640600</v>
      </c>
      <c r="D64" s="50">
        <v>768700</v>
      </c>
    </row>
    <row r="65" spans="1:8" ht="24" customHeight="1" x14ac:dyDescent="0.2">
      <c r="A65" s="7">
        <v>0.37</v>
      </c>
      <c r="B65" s="2">
        <v>9999999</v>
      </c>
    </row>
    <row r="66" spans="1:8" ht="24" customHeight="1" x14ac:dyDescent="0.2"/>
    <row r="67" spans="1:8" ht="24" customHeight="1" x14ac:dyDescent="0.2">
      <c r="A67" s="29" t="s">
        <v>244</v>
      </c>
      <c r="B67" s="29"/>
      <c r="C67" s="29"/>
      <c r="D67" s="29"/>
      <c r="E67" s="29"/>
      <c r="F67" s="29"/>
    </row>
    <row r="68" spans="1:8" ht="24" customHeight="1" x14ac:dyDescent="0.2">
      <c r="A68" s="120"/>
      <c r="B68" s="120"/>
      <c r="C68" s="120"/>
      <c r="D68" s="310" t="s">
        <v>50</v>
      </c>
      <c r="E68" s="311"/>
      <c r="F68" s="312"/>
    </row>
    <row r="69" spans="1:8" ht="24" customHeight="1" x14ac:dyDescent="0.2">
      <c r="A69" s="55" t="s">
        <v>21</v>
      </c>
      <c r="B69" s="39" t="s">
        <v>31</v>
      </c>
      <c r="C69" s="39" t="s">
        <v>243</v>
      </c>
      <c r="D69" s="39" t="s">
        <v>242</v>
      </c>
      <c r="E69" s="39" t="s">
        <v>52</v>
      </c>
      <c r="F69" s="39" t="s">
        <v>53</v>
      </c>
      <c r="G69" s="39" t="s">
        <v>245</v>
      </c>
    </row>
    <row r="70" spans="1:8" ht="24" customHeight="1" x14ac:dyDescent="0.2">
      <c r="A70" s="37">
        <v>1928</v>
      </c>
      <c r="B70" s="119">
        <v>-1.15607E-2</v>
      </c>
      <c r="C70" s="119"/>
      <c r="D70" s="119">
        <v>0.37880000000000003</v>
      </c>
      <c r="E70" s="119">
        <v>2.6096156332435484E-2</v>
      </c>
      <c r="F70" s="119">
        <v>0</v>
      </c>
      <c r="G70" s="119">
        <f>Assumptions!$C$21*D70+Assumptions!$C$22*E70+Assumptions!$C$23*F70</f>
        <v>0.23510884689973066</v>
      </c>
      <c r="H70" s="119"/>
    </row>
    <row r="71" spans="1:8" ht="24" customHeight="1" x14ac:dyDescent="0.2">
      <c r="A71" s="37">
        <v>1929</v>
      </c>
      <c r="B71" s="119">
        <v>5.8479999999999999E-3</v>
      </c>
      <c r="C71" s="119"/>
      <c r="D71" s="119">
        <v>-0.1191</v>
      </c>
      <c r="E71" s="119">
        <v>2.0474157568348909E-2</v>
      </c>
      <c r="F71" s="119">
        <v>0</v>
      </c>
      <c r="G71" s="119">
        <f>Assumptions!$C$21*D71+Assumptions!$C$22*E71+Assumptions!$C$23*F71</f>
        <v>-6.5317752729495318E-2</v>
      </c>
      <c r="H71" s="119"/>
    </row>
    <row r="72" spans="1:8" ht="24" customHeight="1" x14ac:dyDescent="0.2">
      <c r="A72" s="37">
        <v>1930</v>
      </c>
      <c r="B72" s="119">
        <v>-6.3953499999999996E-2</v>
      </c>
      <c r="C72" s="119"/>
      <c r="D72" s="119">
        <v>-0.2848</v>
      </c>
      <c r="E72" s="119">
        <v>9.9190094198350232E-2</v>
      </c>
      <c r="F72" s="119">
        <v>0</v>
      </c>
      <c r="G72" s="119">
        <f>Assumptions!$C$21*D72+Assumptions!$C$22*E72+Assumptions!$C$23*F72</f>
        <v>-0.14112297174049493</v>
      </c>
      <c r="H72" s="119"/>
    </row>
    <row r="73" spans="1:8" ht="24" customHeight="1" x14ac:dyDescent="0.2">
      <c r="A73" s="37">
        <v>1931</v>
      </c>
      <c r="B73" s="119">
        <v>-9.3167700000000006E-2</v>
      </c>
      <c r="C73" s="119"/>
      <c r="D73" s="119">
        <v>-0.47070000000000001</v>
      </c>
      <c r="E73" s="119">
        <v>-1.3707555745443772E-2</v>
      </c>
      <c r="F73" s="119">
        <v>0</v>
      </c>
      <c r="G73" s="119">
        <f>Assumptions!$C$21*D73+Assumptions!$C$22*E73+Assumptions!$C$23*F73</f>
        <v>-0.28653226672363313</v>
      </c>
      <c r="H73" s="119"/>
    </row>
    <row r="74" spans="1:8" ht="24" customHeight="1" x14ac:dyDescent="0.2">
      <c r="A74" s="37">
        <v>1932</v>
      </c>
      <c r="B74" s="119">
        <v>-0.1027397</v>
      </c>
      <c r="C74" s="119"/>
      <c r="D74" s="119">
        <v>-0.1515</v>
      </c>
      <c r="E74" s="119">
        <v>5.0383711349757054E-2</v>
      </c>
      <c r="F74" s="119">
        <v>0</v>
      </c>
      <c r="G74" s="119">
        <f>Assumptions!$C$21*D74+Assumptions!$C$22*E74+Assumptions!$C$23*F74</f>
        <v>-7.5784886595072876E-2</v>
      </c>
      <c r="H74" s="119"/>
    </row>
    <row r="75" spans="1:8" ht="24" customHeight="1" x14ac:dyDescent="0.2">
      <c r="A75" s="37">
        <v>1933</v>
      </c>
      <c r="B75" s="119">
        <v>7.6336000000000008E-3</v>
      </c>
      <c r="C75" s="119"/>
      <c r="D75" s="119">
        <v>0.46589999999999998</v>
      </c>
      <c r="E75" s="119">
        <v>-1.3081028534634238E-2</v>
      </c>
      <c r="F75" s="119">
        <v>0</v>
      </c>
      <c r="G75" s="119">
        <f>Assumptions!$C$21*D75+Assumptions!$C$22*E75+Assumptions!$C$23*F75</f>
        <v>0.27561569143960968</v>
      </c>
      <c r="H75" s="119"/>
    </row>
    <row r="76" spans="1:8" ht="24" customHeight="1" x14ac:dyDescent="0.2">
      <c r="A76" s="37">
        <v>1934</v>
      </c>
      <c r="B76" s="119">
        <v>1.51515E-2</v>
      </c>
      <c r="C76" s="119"/>
      <c r="D76" s="119">
        <v>-5.9400000000000001E-2</v>
      </c>
      <c r="E76" s="119">
        <v>1.3906052979727822E-2</v>
      </c>
      <c r="F76" s="119">
        <v>0</v>
      </c>
      <c r="G76" s="119">
        <f>Assumptions!$C$21*D76+Assumptions!$C$22*E76+Assumptions!$C$23*F76</f>
        <v>-3.1468184106081654E-2</v>
      </c>
      <c r="H76" s="119"/>
    </row>
    <row r="77" spans="1:8" ht="24" customHeight="1" x14ac:dyDescent="0.2">
      <c r="A77" s="37">
        <v>1935</v>
      </c>
      <c r="B77" s="119">
        <v>2.9850699999999997E-2</v>
      </c>
      <c r="C77" s="119"/>
      <c r="D77" s="119">
        <v>0.41370000000000001</v>
      </c>
      <c r="E77" s="119">
        <v>4.3992980932849521E-3</v>
      </c>
      <c r="F77" s="119">
        <v>0</v>
      </c>
      <c r="G77" s="119">
        <f>Assumptions!$C$21*D77+Assumptions!$C$22*E77+Assumptions!$C$23*F77</f>
        <v>0.24953978942798549</v>
      </c>
      <c r="H77" s="119"/>
    </row>
    <row r="78" spans="1:8" ht="24" customHeight="1" x14ac:dyDescent="0.2">
      <c r="A78" s="37">
        <v>1936</v>
      </c>
      <c r="B78" s="119">
        <v>1.4492799999999998E-2</v>
      </c>
      <c r="C78" s="119"/>
      <c r="D78" s="119">
        <v>0.2792</v>
      </c>
      <c r="E78" s="119">
        <v>3.9496102265452429E-2</v>
      </c>
      <c r="F78" s="119">
        <v>0</v>
      </c>
      <c r="G78" s="119">
        <f>Assumptions!$C$21*D78+Assumptions!$C$22*E78+Assumptions!$C$23*F78</f>
        <v>0.17936883067963574</v>
      </c>
      <c r="H78" s="119"/>
    </row>
    <row r="79" spans="1:8" ht="24" customHeight="1" x14ac:dyDescent="0.2">
      <c r="A79" s="37">
        <v>1937</v>
      </c>
      <c r="B79" s="119">
        <v>2.8571399999999997E-2</v>
      </c>
      <c r="C79" s="119"/>
      <c r="D79" s="119">
        <v>-0.38590000000000002</v>
      </c>
      <c r="E79" s="119">
        <v>1.089677358141632E-2</v>
      </c>
      <c r="F79" s="119">
        <v>0</v>
      </c>
      <c r="G79" s="119">
        <f>Assumptions!$C$21*D79+Assumptions!$C$22*E79+Assumptions!$C$23*F79</f>
        <v>-0.22827096792557511</v>
      </c>
      <c r="H79" s="119"/>
    </row>
    <row r="80" spans="1:8" ht="24" customHeight="1" x14ac:dyDescent="0.2">
      <c r="A80" s="37">
        <v>1938</v>
      </c>
      <c r="B80" s="119">
        <v>-2.7777799999999998E-2</v>
      </c>
      <c r="C80" s="119"/>
      <c r="D80" s="119">
        <v>0.25209999999999999</v>
      </c>
      <c r="E80" s="119">
        <v>5.17751813159021E-3</v>
      </c>
      <c r="F80" s="119">
        <v>0</v>
      </c>
      <c r="G80" s="119">
        <f>Assumptions!$C$21*D80+Assumptions!$C$22*E80+Assumptions!$C$23*F80</f>
        <v>0.15281325543947705</v>
      </c>
      <c r="H80" s="119"/>
    </row>
    <row r="81" spans="1:8" ht="24" customHeight="1" x14ac:dyDescent="0.2">
      <c r="A81" s="37">
        <v>1939</v>
      </c>
      <c r="B81" s="119">
        <v>0</v>
      </c>
      <c r="C81" s="119"/>
      <c r="D81" s="119">
        <v>-5.45E-2</v>
      </c>
      <c r="E81" s="119">
        <v>-9.8889940014315128E-3</v>
      </c>
      <c r="F81" s="119">
        <v>0</v>
      </c>
      <c r="G81" s="119">
        <f>Assumptions!$C$21*D81+Assumptions!$C$22*E81+Assumptions!$C$23*F81</f>
        <v>-3.5666698200429454E-2</v>
      </c>
      <c r="H81" s="119"/>
    </row>
    <row r="82" spans="1:8" ht="24" customHeight="1" x14ac:dyDescent="0.2">
      <c r="A82" s="37">
        <v>1940</v>
      </c>
      <c r="B82" s="119">
        <v>7.1428999999999998E-3</v>
      </c>
      <c r="C82" s="119"/>
      <c r="D82" s="119">
        <v>-0.15290000000000001</v>
      </c>
      <c r="E82" s="119">
        <v>6.5998280420320354E-2</v>
      </c>
      <c r="F82" s="119">
        <v>0</v>
      </c>
      <c r="G82" s="119">
        <f>Assumptions!$C$21*D82+Assumptions!$C$22*E82+Assumptions!$C$23*F82</f>
        <v>-7.1940515873903904E-2</v>
      </c>
      <c r="H82" s="119"/>
    </row>
    <row r="83" spans="1:8" ht="24" customHeight="1" x14ac:dyDescent="0.2">
      <c r="A83" s="37">
        <v>1941</v>
      </c>
      <c r="B83" s="119">
        <v>9.9290800000000012E-2</v>
      </c>
      <c r="C83" s="119"/>
      <c r="D83" s="119">
        <v>-0.17860000000000001</v>
      </c>
      <c r="E83" s="119">
        <v>2.6653129384720829E-2</v>
      </c>
      <c r="F83" s="119">
        <v>0</v>
      </c>
      <c r="G83" s="119">
        <f>Assumptions!$C$21*D83+Assumptions!$C$22*E83+Assumptions!$C$23*F83</f>
        <v>-9.9164061184583763E-2</v>
      </c>
      <c r="H83" s="119"/>
    </row>
    <row r="84" spans="1:8" ht="24" customHeight="1" x14ac:dyDescent="0.2">
      <c r="A84" s="37">
        <v>1942</v>
      </c>
      <c r="B84" s="119">
        <v>9.0322600000000003E-2</v>
      </c>
      <c r="C84" s="119"/>
      <c r="D84" s="119">
        <v>0.12429999999999999</v>
      </c>
      <c r="E84" s="119">
        <v>2.4899999999999999E-2</v>
      </c>
      <c r="F84" s="119">
        <v>0</v>
      </c>
      <c r="G84" s="119">
        <f>Assumptions!$C$21*D84+Assumptions!$C$22*E84+Assumptions!$C$23*F84</f>
        <v>8.2049999999999998E-2</v>
      </c>
      <c r="H84" s="119"/>
    </row>
    <row r="85" spans="1:8" ht="24" customHeight="1" x14ac:dyDescent="0.2">
      <c r="A85" s="37">
        <v>1943</v>
      </c>
      <c r="B85" s="119">
        <v>2.9585799999999999E-2</v>
      </c>
      <c r="C85" s="119"/>
      <c r="D85" s="119">
        <v>0.19450000000000001</v>
      </c>
      <c r="E85" s="119">
        <v>2.3924341187242137E-2</v>
      </c>
      <c r="F85" s="119">
        <v>0</v>
      </c>
      <c r="G85" s="119">
        <f>Assumptions!$C$21*D85+Assumptions!$C$22*E85+Assumptions!$C$23*F85</f>
        <v>0.12387730235617264</v>
      </c>
      <c r="H85" s="119"/>
    </row>
    <row r="86" spans="1:8" ht="24" customHeight="1" x14ac:dyDescent="0.2">
      <c r="A86" s="37">
        <v>1944</v>
      </c>
      <c r="B86" s="119">
        <v>2.2988499999999999E-2</v>
      </c>
      <c r="C86" s="119"/>
      <c r="D86" s="119">
        <v>0.13800000000000001</v>
      </c>
      <c r="E86" s="119">
        <v>1.0158326313945656E-2</v>
      </c>
      <c r="F86" s="119">
        <v>0</v>
      </c>
      <c r="G86" s="119">
        <f>Assumptions!$C$21*D86+Assumptions!$C$22*E86+Assumptions!$C$23*F86</f>
        <v>8.5847497894183694E-2</v>
      </c>
      <c r="H86" s="119"/>
    </row>
    <row r="87" spans="1:8" ht="24" customHeight="1" x14ac:dyDescent="0.2">
      <c r="A87" s="37">
        <v>1945</v>
      </c>
      <c r="B87" s="119">
        <v>2.24719E-2</v>
      </c>
      <c r="C87" s="119"/>
      <c r="D87" s="119">
        <v>0.30719999999999997</v>
      </c>
      <c r="E87" s="119">
        <v>1.4453495948457708E-2</v>
      </c>
      <c r="F87" s="119">
        <v>0</v>
      </c>
      <c r="G87" s="119">
        <f>Assumptions!$C$21*D87+Assumptions!$C$22*E87+Assumptions!$C$23*F87</f>
        <v>0.18865604878453729</v>
      </c>
      <c r="H87" s="119"/>
    </row>
    <row r="88" spans="1:8" ht="24" customHeight="1" x14ac:dyDescent="0.2">
      <c r="A88" s="37">
        <v>1946</v>
      </c>
      <c r="B88" s="119">
        <v>0.1813187</v>
      </c>
      <c r="C88" s="119"/>
      <c r="D88" s="119">
        <v>-0.1187</v>
      </c>
      <c r="E88" s="119">
        <v>3.7206242292826069E-2</v>
      </c>
      <c r="F88" s="119">
        <v>0</v>
      </c>
      <c r="G88" s="119">
        <f>Assumptions!$C$21*D88+Assumptions!$C$22*E88+Assumptions!$C$23*F88</f>
        <v>-6.0058127312152168E-2</v>
      </c>
      <c r="H88" s="119"/>
    </row>
    <row r="89" spans="1:8" ht="24" customHeight="1" x14ac:dyDescent="0.2">
      <c r="A89" s="37">
        <v>1947</v>
      </c>
      <c r="B89" s="119">
        <v>8.8372100000000009E-2</v>
      </c>
      <c r="C89" s="119"/>
      <c r="D89" s="119">
        <v>0</v>
      </c>
      <c r="E89" s="119">
        <v>2.8801010645722627E-2</v>
      </c>
      <c r="F89" s="119">
        <v>0</v>
      </c>
      <c r="G89" s="119">
        <f>Assumptions!$C$21*D89+Assumptions!$C$22*E89+Assumptions!$C$23*F89</f>
        <v>8.6403031937167876E-3</v>
      </c>
      <c r="H89" s="119"/>
    </row>
    <row r="90" spans="1:8" ht="24" customHeight="1" x14ac:dyDescent="0.2">
      <c r="A90" s="37">
        <v>1948</v>
      </c>
      <c r="B90" s="119">
        <v>2.7338700000000001E-2</v>
      </c>
      <c r="C90" s="119"/>
      <c r="D90" s="119">
        <v>-6.4999999999999997E-3</v>
      </c>
      <c r="E90" s="119">
        <v>-4.8152934124554708E-5</v>
      </c>
      <c r="F90" s="119">
        <v>0</v>
      </c>
      <c r="G90" s="119">
        <f>Assumptions!$C$21*D90+Assumptions!$C$22*E90+Assumptions!$C$23*F90</f>
        <v>-3.9144458802373664E-3</v>
      </c>
      <c r="H90" s="119"/>
    </row>
    <row r="91" spans="1:8" ht="24" customHeight="1" x14ac:dyDescent="0.2">
      <c r="A91" s="37">
        <v>1949</v>
      </c>
      <c r="B91" s="119">
        <v>-1.8295200000000001E-2</v>
      </c>
      <c r="C91" s="119"/>
      <c r="D91" s="119">
        <v>0.1026</v>
      </c>
      <c r="E91" s="119">
        <v>4.1687881462378423E-2</v>
      </c>
      <c r="F91" s="119">
        <v>0</v>
      </c>
      <c r="G91" s="119">
        <f>Assumptions!$C$21*D91+Assumptions!$C$22*E91+Assumptions!$C$23*F91</f>
        <v>7.4066364438713519E-2</v>
      </c>
      <c r="H91" s="119"/>
    </row>
    <row r="92" spans="1:8" ht="24" customHeight="1" x14ac:dyDescent="0.2">
      <c r="A92" s="37">
        <v>1950</v>
      </c>
      <c r="B92" s="119">
        <v>5.8026299999999996E-2</v>
      </c>
      <c r="C92" s="119"/>
      <c r="D92" s="119">
        <v>0.21779999999999999</v>
      </c>
      <c r="E92" s="119">
        <v>5.4286266003480049E-2</v>
      </c>
      <c r="F92" s="119">
        <v>0</v>
      </c>
      <c r="G92" s="119">
        <f>Assumptions!$C$21*D92+Assumptions!$C$22*E92+Assumptions!$C$23*F92</f>
        <v>0.146965879801044</v>
      </c>
      <c r="H92" s="119"/>
    </row>
    <row r="93" spans="1:8" ht="24" customHeight="1" x14ac:dyDescent="0.2">
      <c r="A93" s="37">
        <v>1951</v>
      </c>
      <c r="B93" s="119">
        <v>5.9647699999999998E-2</v>
      </c>
      <c r="C93" s="119"/>
      <c r="D93" s="119">
        <v>0.1646</v>
      </c>
      <c r="E93" s="119">
        <v>3.1831151487231063E-2</v>
      </c>
      <c r="F93" s="119">
        <v>0</v>
      </c>
      <c r="G93" s="119">
        <f>Assumptions!$C$21*D93+Assumptions!$C$22*E93+Assumptions!$C$23*F93</f>
        <v>0.10830934544616933</v>
      </c>
      <c r="H93" s="119"/>
    </row>
    <row r="94" spans="1:8" ht="24" customHeight="1" x14ac:dyDescent="0.2">
      <c r="A94" s="37">
        <v>1952</v>
      </c>
      <c r="B94" s="119">
        <v>9.0668999999999993E-3</v>
      </c>
      <c r="C94" s="119"/>
      <c r="D94" s="119">
        <v>0.1178</v>
      </c>
      <c r="E94" s="119">
        <v>1.2075878138577988E-2</v>
      </c>
      <c r="F94" s="119">
        <v>0</v>
      </c>
      <c r="G94" s="119">
        <f>Assumptions!$C$21*D94+Assumptions!$C$22*E94+Assumptions!$C$23*F94</f>
        <v>7.4302763441573383E-2</v>
      </c>
      <c r="H94" s="119"/>
    </row>
    <row r="95" spans="1:8" ht="24" customHeight="1" x14ac:dyDescent="0.2">
      <c r="A95" s="37">
        <v>1953</v>
      </c>
      <c r="B95" s="119">
        <v>5.9902999999999996E-3</v>
      </c>
      <c r="C95" s="119"/>
      <c r="D95" s="119">
        <v>-6.6199999999999995E-2</v>
      </c>
      <c r="E95" s="119">
        <v>1.8130798705455742E-2</v>
      </c>
      <c r="F95" s="119">
        <v>0</v>
      </c>
      <c r="G95" s="119">
        <f>Assumptions!$C$21*D95+Assumptions!$C$22*E95+Assumptions!$C$23*F95</f>
        <v>-3.4280760388363279E-2</v>
      </c>
      <c r="H95" s="119"/>
    </row>
    <row r="96" spans="1:8" ht="24" customHeight="1" x14ac:dyDescent="0.2">
      <c r="A96" s="37">
        <v>1954</v>
      </c>
      <c r="B96" s="119">
        <v>-3.7215999999999998E-3</v>
      </c>
      <c r="C96" s="119"/>
      <c r="D96" s="119">
        <v>0.45019999999999999</v>
      </c>
      <c r="E96" s="119">
        <v>6.8963944389287699E-2</v>
      </c>
      <c r="F96" s="119">
        <v>0</v>
      </c>
      <c r="G96" s="119">
        <f>Assumptions!$C$21*D96+Assumptions!$C$22*E96+Assumptions!$C$23*F96</f>
        <v>0.29080918331678629</v>
      </c>
      <c r="H96" s="119"/>
    </row>
    <row r="97" spans="1:8" ht="24" customHeight="1" x14ac:dyDescent="0.2">
      <c r="A97" s="37">
        <v>1955</v>
      </c>
      <c r="B97" s="119">
        <v>3.7355000000000001E-3</v>
      </c>
      <c r="C97" s="119"/>
      <c r="D97" s="119">
        <v>0.26400000000000001</v>
      </c>
      <c r="E97" s="119">
        <v>8.9750147804066274E-2</v>
      </c>
      <c r="F97" s="119">
        <v>0</v>
      </c>
      <c r="G97" s="119">
        <f>Assumptions!$C$21*D97+Assumptions!$C$22*E97+Assumptions!$C$23*F97</f>
        <v>0.18532504434121988</v>
      </c>
      <c r="H97" s="119"/>
    </row>
    <row r="98" spans="1:8" ht="24" customHeight="1" x14ac:dyDescent="0.2">
      <c r="A98" s="37">
        <v>1956</v>
      </c>
      <c r="B98" s="119">
        <v>2.8284299999999998E-2</v>
      </c>
      <c r="C98" s="119"/>
      <c r="D98" s="119">
        <v>2.6200000000000001E-2</v>
      </c>
      <c r="E98" s="119">
        <v>6.3977697492288016E-4</v>
      </c>
      <c r="F98" s="119">
        <v>0</v>
      </c>
      <c r="G98" s="119">
        <f>Assumptions!$C$21*D98+Assumptions!$C$22*E98+Assumptions!$C$23*F98</f>
        <v>1.5911933092476866E-2</v>
      </c>
      <c r="H98" s="119"/>
    </row>
    <row r="99" spans="1:8" ht="24" customHeight="1" x14ac:dyDescent="0.2">
      <c r="A99" s="37">
        <v>1957</v>
      </c>
      <c r="B99" s="119">
        <v>3.0401699999999997E-2</v>
      </c>
      <c r="C99" s="119"/>
      <c r="D99" s="119">
        <v>-0.1431</v>
      </c>
      <c r="E99" s="119">
        <v>9.3456798692269666E-2</v>
      </c>
      <c r="F99" s="119">
        <v>0</v>
      </c>
      <c r="G99" s="119">
        <f>Assumptions!$C$21*D99+Assumptions!$C$22*E99+Assumptions!$C$23*F99</f>
        <v>-5.7822960392319107E-2</v>
      </c>
      <c r="H99" s="119"/>
    </row>
    <row r="100" spans="1:8" ht="24" customHeight="1" x14ac:dyDescent="0.2">
      <c r="A100" s="37">
        <v>1958</v>
      </c>
      <c r="B100" s="119">
        <v>1.7562299999999999E-2</v>
      </c>
      <c r="C100" s="119"/>
      <c r="D100" s="119">
        <v>0.38059999999999999</v>
      </c>
      <c r="E100" s="119">
        <v>0.11469207824135058</v>
      </c>
      <c r="F100" s="119">
        <v>0</v>
      </c>
      <c r="G100" s="119">
        <f>Assumptions!$C$21*D100+Assumptions!$C$22*E100+Assumptions!$C$23*F100</f>
        <v>0.26276762347240518</v>
      </c>
      <c r="H100" s="119"/>
    </row>
    <row r="101" spans="1:8" ht="24" customHeight="1" x14ac:dyDescent="0.2">
      <c r="A101" s="37">
        <v>1959</v>
      </c>
      <c r="B101" s="119">
        <v>1.51881E-2</v>
      </c>
      <c r="C101" s="119"/>
      <c r="D101" s="119">
        <v>8.48E-2</v>
      </c>
      <c r="E101" s="119">
        <v>-2.8234175545394417E-2</v>
      </c>
      <c r="F101" s="119">
        <v>0</v>
      </c>
      <c r="G101" s="119">
        <f>Assumptions!$C$21*D101+Assumptions!$C$22*E101+Assumptions!$C$23*F101</f>
        <v>4.2409747336381677E-2</v>
      </c>
      <c r="H101" s="119"/>
    </row>
    <row r="102" spans="1:8" ht="24" customHeight="1" x14ac:dyDescent="0.2">
      <c r="A102" s="37">
        <v>1960</v>
      </c>
      <c r="B102" s="119">
        <v>1.36008E-2</v>
      </c>
      <c r="C102" s="119"/>
      <c r="D102" s="119">
        <v>-2.9700000000000001E-2</v>
      </c>
      <c r="E102" s="119">
        <v>5.8586950729552251E-2</v>
      </c>
      <c r="F102" s="119">
        <v>0</v>
      </c>
      <c r="G102" s="119">
        <f>Assumptions!$C$21*D102+Assumptions!$C$22*E102+Assumptions!$C$23*F102</f>
        <v>-2.4391478113432521E-4</v>
      </c>
      <c r="H102" s="119"/>
    </row>
    <row r="103" spans="1:8" ht="24" customHeight="1" x14ac:dyDescent="0.2">
      <c r="A103" s="37">
        <v>1961</v>
      </c>
      <c r="B103" s="119">
        <v>6.7091999999999994E-3</v>
      </c>
      <c r="C103" s="119"/>
      <c r="D103" s="119">
        <v>0.23130000000000001</v>
      </c>
      <c r="E103" s="119">
        <v>2.242655279665743E-2</v>
      </c>
      <c r="F103" s="119">
        <v>0</v>
      </c>
      <c r="G103" s="119">
        <f>Assumptions!$C$21*D103+Assumptions!$C$22*E103+Assumptions!$C$23*F103</f>
        <v>0.14550796583899722</v>
      </c>
      <c r="H103" s="119"/>
    </row>
    <row r="104" spans="1:8" ht="24" customHeight="1" x14ac:dyDescent="0.2">
      <c r="A104" s="37">
        <v>1962</v>
      </c>
      <c r="B104" s="119">
        <v>1.23292E-2</v>
      </c>
      <c r="C104" s="119"/>
      <c r="D104" s="119">
        <v>-0.1181</v>
      </c>
      <c r="E104" s="119">
        <v>6.3352844729114177E-2</v>
      </c>
      <c r="F104" s="119">
        <v>0</v>
      </c>
      <c r="G104" s="119">
        <f>Assumptions!$C$21*D104+Assumptions!$C$22*E104+Assumptions!$C$23*F104</f>
        <v>-5.1854146581265741E-2</v>
      </c>
      <c r="H104" s="119"/>
    </row>
    <row r="105" spans="1:8" ht="24" customHeight="1" x14ac:dyDescent="0.2">
      <c r="A105" s="37">
        <v>1963</v>
      </c>
      <c r="B105" s="119">
        <v>1.6458199999999999E-2</v>
      </c>
      <c r="C105" s="119"/>
      <c r="D105" s="119">
        <v>0.18890000000000001</v>
      </c>
      <c r="E105" s="119">
        <v>4.5829329492676533E-2</v>
      </c>
      <c r="F105" s="119">
        <v>0</v>
      </c>
      <c r="G105" s="119">
        <f>Assumptions!$C$21*D105+Assumptions!$C$22*E105+Assumptions!$C$23*F105</f>
        <v>0.12708879884780294</v>
      </c>
      <c r="H105" s="119"/>
    </row>
    <row r="106" spans="1:8" ht="24" customHeight="1" x14ac:dyDescent="0.2">
      <c r="A106" s="37">
        <v>1964</v>
      </c>
      <c r="B106" s="119">
        <v>1.19819E-2</v>
      </c>
      <c r="C106" s="119"/>
      <c r="D106" s="119">
        <v>0.12970000000000001</v>
      </c>
      <c r="E106" s="119">
        <v>8.1570289578441341E-2</v>
      </c>
      <c r="F106" s="119">
        <v>0</v>
      </c>
      <c r="G106" s="119">
        <f>Assumptions!$C$21*D106+Assumptions!$C$22*E106+Assumptions!$C$23*F106</f>
        <v>0.1022910868735324</v>
      </c>
      <c r="H106" s="119"/>
    </row>
    <row r="107" spans="1:8" ht="24" customHeight="1" x14ac:dyDescent="0.2">
      <c r="A107" s="37">
        <v>1965</v>
      </c>
      <c r="B107" s="119">
        <v>1.9199999999999998E-2</v>
      </c>
      <c r="C107" s="119"/>
      <c r="D107" s="119">
        <v>9.06E-2</v>
      </c>
      <c r="E107" s="119">
        <v>6.5705724532036935E-2</v>
      </c>
      <c r="F107" s="119">
        <v>0</v>
      </c>
      <c r="G107" s="119">
        <f>Assumptions!$C$21*D107+Assumptions!$C$22*E107+Assumptions!$C$23*F107</f>
        <v>7.4071717359611072E-2</v>
      </c>
      <c r="H107" s="119"/>
    </row>
    <row r="108" spans="1:8" ht="24" customHeight="1" x14ac:dyDescent="0.2">
      <c r="A108" s="37">
        <v>1966</v>
      </c>
      <c r="B108" s="119">
        <v>3.3595E-2</v>
      </c>
      <c r="C108" s="119"/>
      <c r="D108" s="119">
        <v>-0.13089999999999999</v>
      </c>
      <c r="E108" s="119">
        <v>0.12392594536864682</v>
      </c>
      <c r="F108" s="119">
        <v>0</v>
      </c>
      <c r="G108" s="119">
        <f>Assumptions!$C$21*D108+Assumptions!$C$22*E108+Assumptions!$C$23*F108</f>
        <v>-4.1362216389405938E-2</v>
      </c>
      <c r="H108" s="119"/>
    </row>
    <row r="109" spans="1:8" ht="24" customHeight="1" x14ac:dyDescent="0.2">
      <c r="A109" s="37">
        <v>1967</v>
      </c>
      <c r="B109" s="119">
        <v>3.2806799999999997E-2</v>
      </c>
      <c r="C109" s="119"/>
      <c r="D109" s="119">
        <v>0.2009</v>
      </c>
      <c r="E109" s="119">
        <v>8.4937266602130385E-2</v>
      </c>
      <c r="F109" s="119">
        <v>0</v>
      </c>
      <c r="G109" s="119">
        <f>Assumptions!$C$21*D109+Assumptions!$C$22*E109+Assumptions!$C$23*F109</f>
        <v>0.1460211799806391</v>
      </c>
      <c r="H109" s="119"/>
    </row>
    <row r="110" spans="1:8" ht="24" customHeight="1" x14ac:dyDescent="0.2">
      <c r="A110" s="37">
        <v>1968</v>
      </c>
      <c r="B110" s="119">
        <v>4.7058799999999998E-2</v>
      </c>
      <c r="C110" s="119"/>
      <c r="D110" s="119">
        <v>7.6600000000000001E-2</v>
      </c>
      <c r="E110" s="119">
        <v>0.19556412405986445</v>
      </c>
      <c r="F110" s="119">
        <v>0</v>
      </c>
      <c r="G110" s="119">
        <f>Assumptions!$C$21*D110+Assumptions!$C$22*E110+Assumptions!$C$23*F110</f>
        <v>0.10462923721795933</v>
      </c>
      <c r="H110" s="119"/>
    </row>
    <row r="111" spans="1:8" ht="24" customHeight="1" x14ac:dyDescent="0.2">
      <c r="A111" s="37">
        <v>1969</v>
      </c>
      <c r="B111" s="119">
        <v>5.8988800000000001E-2</v>
      </c>
      <c r="C111" s="119"/>
      <c r="D111" s="119">
        <v>-0.11360000000000001</v>
      </c>
      <c r="E111" s="119">
        <v>-2.1998161385497997E-2</v>
      </c>
      <c r="F111" s="119">
        <v>0</v>
      </c>
      <c r="G111" s="119">
        <f>Assumptions!$C$21*D111+Assumptions!$C$22*E111+Assumptions!$C$23*F111</f>
        <v>-7.4759448415649396E-2</v>
      </c>
      <c r="H111" s="119"/>
    </row>
    <row r="112" spans="1:8" ht="24" customHeight="1" x14ac:dyDescent="0.2">
      <c r="A112" s="37">
        <v>1970</v>
      </c>
      <c r="B112" s="119">
        <v>5.57029E-2</v>
      </c>
      <c r="C112" s="119"/>
      <c r="D112" s="119">
        <v>1E-3</v>
      </c>
      <c r="E112" s="119">
        <v>2.6060483298653382E-2</v>
      </c>
      <c r="F112" s="119">
        <v>0</v>
      </c>
      <c r="G112" s="119">
        <f>Assumptions!$C$21*D112+Assumptions!$C$22*E112+Assumptions!$C$23*F112</f>
        <v>8.4181449895960134E-3</v>
      </c>
      <c r="H112" s="119"/>
    </row>
    <row r="113" spans="1:8" ht="24" customHeight="1" x14ac:dyDescent="0.2">
      <c r="A113" s="37">
        <v>1971</v>
      </c>
      <c r="B113" s="119">
        <v>3.2663299999999999E-2</v>
      </c>
      <c r="C113" s="119"/>
      <c r="D113" s="119">
        <v>0.1079</v>
      </c>
      <c r="E113" s="119">
        <v>9.5353598836441025E-2</v>
      </c>
      <c r="F113" s="119">
        <v>0</v>
      </c>
      <c r="G113" s="119">
        <f>Assumptions!$C$21*D113+Assumptions!$C$22*E113+Assumptions!$C$23*F113</f>
        <v>9.3346079650932307E-2</v>
      </c>
      <c r="H113" s="119"/>
    </row>
    <row r="114" spans="1:8" ht="24" customHeight="1" x14ac:dyDescent="0.2">
      <c r="A114" s="37">
        <v>1972</v>
      </c>
      <c r="B114" s="119">
        <v>3.4063299999999998E-2</v>
      </c>
      <c r="C114" s="119"/>
      <c r="D114" s="119">
        <v>0.15629999999999999</v>
      </c>
      <c r="E114" s="119">
        <v>9.4897426996067721E-2</v>
      </c>
      <c r="F114" s="119">
        <v>0</v>
      </c>
      <c r="G114" s="119">
        <f>Assumptions!$C$21*D114+Assumptions!$C$22*E114+Assumptions!$C$23*F114</f>
        <v>0.1222492280988203</v>
      </c>
      <c r="H114" s="119"/>
    </row>
    <row r="115" spans="1:8" ht="24" customHeight="1" x14ac:dyDescent="0.2">
      <c r="A115" s="37">
        <v>1973</v>
      </c>
      <c r="B115" s="119">
        <v>8.9411799999999986E-2</v>
      </c>
      <c r="C115" s="119"/>
      <c r="D115" s="119">
        <v>-0.17369999999999999</v>
      </c>
      <c r="E115" s="119">
        <v>0.12335056379825368</v>
      </c>
      <c r="F115" s="119">
        <v>0</v>
      </c>
      <c r="G115" s="119">
        <f>Assumptions!$C$21*D115+Assumptions!$C$22*E115+Assumptions!$C$23*F115</f>
        <v>-6.7214830860523891E-2</v>
      </c>
      <c r="H115" s="119"/>
    </row>
    <row r="116" spans="1:8" ht="24" customHeight="1" x14ac:dyDescent="0.2">
      <c r="A116" s="37">
        <v>1974</v>
      </c>
      <c r="B116" s="119">
        <v>0.1209503</v>
      </c>
      <c r="C116" s="119"/>
      <c r="D116" s="119">
        <v>-0.29720000000000002</v>
      </c>
      <c r="E116" s="119">
        <v>0.11925062383846978</v>
      </c>
      <c r="F116" s="119">
        <v>0</v>
      </c>
      <c r="G116" s="119">
        <f>Assumptions!$C$21*D116+Assumptions!$C$22*E116+Assumptions!$C$23*F116</f>
        <v>-0.14254481284845907</v>
      </c>
      <c r="H116" s="119"/>
    </row>
    <row r="117" spans="1:8" ht="24" customHeight="1" x14ac:dyDescent="0.2">
      <c r="A117" s="37">
        <v>1975</v>
      </c>
      <c r="B117" s="119">
        <v>7.129089999999999E-2</v>
      </c>
      <c r="C117" s="119"/>
      <c r="D117" s="119">
        <v>0.3155</v>
      </c>
      <c r="E117" s="119">
        <v>-7.1239198080383787E-3</v>
      </c>
      <c r="F117" s="119">
        <v>0</v>
      </c>
      <c r="G117" s="119">
        <f>Assumptions!$C$21*D117+Assumptions!$C$22*E117+Assumptions!$C$23*F117</f>
        <v>0.18716282405758849</v>
      </c>
      <c r="H117" s="119"/>
    </row>
    <row r="118" spans="1:8" ht="24" customHeight="1" x14ac:dyDescent="0.2">
      <c r="A118" s="37">
        <v>1976</v>
      </c>
      <c r="B118" s="119">
        <v>5.03597E-2</v>
      </c>
      <c r="C118" s="119"/>
      <c r="D118" s="119">
        <v>0.1915</v>
      </c>
      <c r="E118" s="119">
        <v>0.13484106025827927</v>
      </c>
      <c r="F118" s="119">
        <v>0</v>
      </c>
      <c r="G118" s="119">
        <f>Assumptions!$C$21*D118+Assumptions!$C$22*E118+Assumptions!$C$23*F118</f>
        <v>0.15535231807748379</v>
      </c>
      <c r="H118" s="119"/>
    </row>
    <row r="119" spans="1:8" ht="24" customHeight="1" x14ac:dyDescent="0.2">
      <c r="A119" s="37">
        <v>1977</v>
      </c>
      <c r="B119" s="119">
        <v>6.6780800000000001E-2</v>
      </c>
      <c r="C119" s="119"/>
      <c r="D119" s="119">
        <v>-0.115</v>
      </c>
      <c r="E119" s="119">
        <v>0.17992502437339869</v>
      </c>
      <c r="F119" s="119">
        <v>0</v>
      </c>
      <c r="G119" s="119">
        <f>Assumptions!$C$21*D119+Assumptions!$C$22*E119+Assumptions!$C$23*F119</f>
        <v>-1.50224926879804E-2</v>
      </c>
      <c r="H119" s="119"/>
    </row>
    <row r="120" spans="1:8" ht="24" customHeight="1" x14ac:dyDescent="0.2">
      <c r="A120" s="37">
        <v>1978</v>
      </c>
      <c r="B120" s="119">
        <v>8.9887599999999998E-2</v>
      </c>
      <c r="C120" s="119"/>
      <c r="D120" s="119">
        <v>1.06E-2</v>
      </c>
      <c r="E120" s="119">
        <v>0.19242470722148652</v>
      </c>
      <c r="F120" s="119">
        <v>0</v>
      </c>
      <c r="G120" s="119">
        <f>Assumptions!$C$21*D120+Assumptions!$C$22*E120+Assumptions!$C$23*F120</f>
        <v>6.4087412166445951E-2</v>
      </c>
      <c r="H120" s="119"/>
    </row>
    <row r="121" spans="1:8" ht="24" customHeight="1" x14ac:dyDescent="0.2">
      <c r="A121" s="37">
        <v>1979</v>
      </c>
      <c r="B121" s="119">
        <v>0.1325479</v>
      </c>
      <c r="C121" s="119"/>
      <c r="D121" s="119">
        <v>0.1231</v>
      </c>
      <c r="E121" s="119">
        <v>0.27645242923509217</v>
      </c>
      <c r="F121" s="119">
        <v>0</v>
      </c>
      <c r="G121" s="119">
        <f>Assumptions!$C$21*D121+Assumptions!$C$22*E121+Assumptions!$C$23*F121</f>
        <v>0.15679572877052764</v>
      </c>
      <c r="H121" s="119"/>
    </row>
    <row r="122" spans="1:8" ht="24" customHeight="1" x14ac:dyDescent="0.2">
      <c r="A122" s="37">
        <v>1980</v>
      </c>
      <c r="B122" s="119">
        <v>0.1235371</v>
      </c>
      <c r="C122" s="119"/>
      <c r="D122" s="119">
        <v>0.25769999999999998</v>
      </c>
      <c r="E122" s="119">
        <v>0.18525785690514063</v>
      </c>
      <c r="F122" s="119">
        <v>0</v>
      </c>
      <c r="G122" s="119">
        <f>Assumptions!$C$21*D122+Assumptions!$C$22*E122+Assumptions!$C$23*F122</f>
        <v>0.21019735707154216</v>
      </c>
      <c r="H122" s="119"/>
    </row>
    <row r="123" spans="1:8" ht="24" customHeight="1" x14ac:dyDescent="0.2">
      <c r="A123" s="37">
        <v>1981</v>
      </c>
      <c r="B123" s="119">
        <v>8.9120399999999989E-2</v>
      </c>
      <c r="C123" s="119"/>
      <c r="D123" s="119">
        <v>-9.7299999999999998E-2</v>
      </c>
      <c r="E123" s="119">
        <v>-6.2301082180253264E-2</v>
      </c>
      <c r="F123" s="119">
        <v>0</v>
      </c>
      <c r="G123" s="119">
        <f>Assumptions!$C$21*D123+Assumptions!$C$22*E123+Assumptions!$C$23*F123</f>
        <v>-7.707032465407597E-2</v>
      </c>
      <c r="H123" s="119"/>
    </row>
    <row r="124" spans="1:8" ht="24" customHeight="1" x14ac:dyDescent="0.2">
      <c r="A124" s="37">
        <v>1982</v>
      </c>
      <c r="B124" s="119">
        <v>3.8257199999999998E-2</v>
      </c>
      <c r="C124" s="119"/>
      <c r="D124" s="119">
        <v>0.14760000000000001</v>
      </c>
      <c r="E124" s="119">
        <v>0.19575902150101049</v>
      </c>
      <c r="F124" s="119">
        <v>0</v>
      </c>
      <c r="G124" s="119">
        <f>Assumptions!$C$21*D124+Assumptions!$C$22*E124+Assumptions!$C$23*F124</f>
        <v>0.14728770645030315</v>
      </c>
      <c r="H124" s="119"/>
    </row>
    <row r="125" spans="1:8" ht="24" customHeight="1" x14ac:dyDescent="0.2">
      <c r="A125" s="37">
        <v>1983</v>
      </c>
      <c r="B125" s="119">
        <v>3.7871000000000002E-2</v>
      </c>
      <c r="C125" s="119"/>
      <c r="D125" s="119">
        <v>0.17269999999999999</v>
      </c>
      <c r="E125" s="119">
        <v>9.6223791603853984E-2</v>
      </c>
      <c r="F125" s="119">
        <v>0</v>
      </c>
      <c r="G125" s="119">
        <f>Assumptions!$C$21*D125+Assumptions!$C$22*E125+Assumptions!$C$23*F125</f>
        <v>0.13248713748115618</v>
      </c>
      <c r="H125" s="119"/>
    </row>
    <row r="126" spans="1:8" ht="24" customHeight="1" x14ac:dyDescent="0.2">
      <c r="A126" s="37">
        <v>1984</v>
      </c>
      <c r="B126" s="119">
        <v>4.0433899999999995E-2</v>
      </c>
      <c r="C126" s="119"/>
      <c r="D126" s="119">
        <v>1.4E-2</v>
      </c>
      <c r="E126" s="119">
        <v>-3.6598064569372216E-2</v>
      </c>
      <c r="F126" s="119">
        <v>0</v>
      </c>
      <c r="G126" s="119">
        <f>Assumptions!$C$21*D126+Assumptions!$C$22*E126+Assumptions!$C$23*F126</f>
        <v>-2.5794193708116656E-3</v>
      </c>
      <c r="H126" s="119"/>
    </row>
    <row r="127" spans="1:8" ht="24" customHeight="1" x14ac:dyDescent="0.2">
      <c r="A127" s="37">
        <v>1985</v>
      </c>
      <c r="B127" s="119">
        <v>3.7914699999999996E-2</v>
      </c>
      <c r="C127" s="119"/>
      <c r="D127" s="119">
        <v>0.26329999999999998</v>
      </c>
      <c r="E127" s="119">
        <v>-6.5314507397784716E-2</v>
      </c>
      <c r="F127" s="119">
        <v>0</v>
      </c>
      <c r="G127" s="119">
        <f>Assumptions!$C$21*D127+Assumptions!$C$22*E127+Assumptions!$C$23*F127</f>
        <v>0.13838564778066456</v>
      </c>
      <c r="H127" s="119"/>
    </row>
    <row r="128" spans="1:8" ht="24" customHeight="1" x14ac:dyDescent="0.2">
      <c r="A128" s="37">
        <v>1986</v>
      </c>
      <c r="B128" s="119">
        <v>1.1872100000000002E-2</v>
      </c>
      <c r="C128" s="119"/>
      <c r="D128" s="119">
        <v>0.1462</v>
      </c>
      <c r="E128" s="119">
        <v>0.22127453240243333</v>
      </c>
      <c r="F128" s="119">
        <v>0</v>
      </c>
      <c r="G128" s="119">
        <f>Assumptions!$C$21*D128+Assumptions!$C$22*E128+Assumptions!$C$23*F128</f>
        <v>0.15410235972073</v>
      </c>
      <c r="H128" s="119"/>
    </row>
    <row r="129" spans="1:8" ht="24" customHeight="1" x14ac:dyDescent="0.2">
      <c r="A129" s="37">
        <v>1987</v>
      </c>
      <c r="B129" s="119">
        <v>4.33213E-2</v>
      </c>
      <c r="C129" s="119"/>
      <c r="D129" s="119">
        <v>2.0299999999999999E-2</v>
      </c>
      <c r="E129" s="119">
        <v>9.8804580173144571E-2</v>
      </c>
      <c r="F129" s="119">
        <v>0</v>
      </c>
      <c r="G129" s="119">
        <f>Assumptions!$C$21*D129+Assumptions!$C$22*E129+Assumptions!$C$23*F129</f>
        <v>4.1821374051943368E-2</v>
      </c>
      <c r="H129" s="119"/>
    </row>
    <row r="130" spans="1:8" ht="24" customHeight="1" x14ac:dyDescent="0.2">
      <c r="A130" s="37">
        <v>1988</v>
      </c>
      <c r="B130" s="119">
        <v>4.41176E-2</v>
      </c>
      <c r="C130" s="119"/>
      <c r="D130" s="119">
        <v>0.124</v>
      </c>
      <c r="E130" s="119">
        <v>-2.7111065645921972E-3</v>
      </c>
      <c r="F130" s="119">
        <v>0</v>
      </c>
      <c r="G130" s="119">
        <f>Assumptions!$C$21*D130+Assumptions!$C$22*E130+Assumptions!$C$23*F130</f>
        <v>7.3586668030622332E-2</v>
      </c>
      <c r="H130" s="119"/>
    </row>
    <row r="131" spans="1:8" ht="24" customHeight="1" x14ac:dyDescent="0.2">
      <c r="A131" s="37">
        <v>1989</v>
      </c>
      <c r="B131" s="119">
        <v>4.6396E-2</v>
      </c>
      <c r="C131" s="119"/>
      <c r="D131" s="119">
        <v>0.27250000000000002</v>
      </c>
      <c r="E131" s="119">
        <v>9.702106549816604E-2</v>
      </c>
      <c r="F131" s="119">
        <v>0</v>
      </c>
      <c r="G131" s="119">
        <f>Assumptions!$C$21*D131+Assumptions!$C$22*E131+Assumptions!$C$23*F131</f>
        <v>0.19260631964944983</v>
      </c>
      <c r="H131" s="119"/>
    </row>
    <row r="132" spans="1:8" ht="24" customHeight="1" x14ac:dyDescent="0.2">
      <c r="A132" s="37">
        <v>1990</v>
      </c>
      <c r="B132" s="119">
        <v>6.2549499999999994E-2</v>
      </c>
      <c r="C132" s="119"/>
      <c r="D132" s="119">
        <v>-6.5600000000000006E-2</v>
      </c>
      <c r="E132" s="119">
        <v>4.7092325090758863E-3</v>
      </c>
      <c r="F132" s="119">
        <v>0</v>
      </c>
      <c r="G132" s="119">
        <f>Assumptions!$C$21*D132+Assumptions!$C$22*E132+Assumptions!$C$23*F132</f>
        <v>-3.7947230247277232E-2</v>
      </c>
      <c r="H132" s="119"/>
    </row>
    <row r="133" spans="1:8" ht="24" customHeight="1" x14ac:dyDescent="0.2">
      <c r="A133" s="37">
        <v>1991</v>
      </c>
      <c r="B133" s="119">
        <v>2.9806300000000001E-2</v>
      </c>
      <c r="C133" s="119"/>
      <c r="D133" s="119">
        <v>0.2631</v>
      </c>
      <c r="E133" s="119">
        <v>4.5317745391459177E-2</v>
      </c>
      <c r="F133" s="119">
        <v>0</v>
      </c>
      <c r="G133" s="119">
        <f>Assumptions!$C$21*D133+Assumptions!$C$22*E133+Assumptions!$C$23*F133</f>
        <v>0.17145532361743776</v>
      </c>
      <c r="H133" s="119"/>
    </row>
    <row r="134" spans="1:8" ht="24" customHeight="1" x14ac:dyDescent="0.2">
      <c r="A134" s="37">
        <v>1992</v>
      </c>
      <c r="B134" s="119">
        <v>2.9667099999999998E-2</v>
      </c>
      <c r="C134" s="119"/>
      <c r="D134" s="119">
        <v>4.4600000000000001E-2</v>
      </c>
      <c r="E134" s="119">
        <v>-1.3288666131498234E-2</v>
      </c>
      <c r="F134" s="119">
        <v>0</v>
      </c>
      <c r="G134" s="119">
        <f>Assumptions!$C$21*D134+Assumptions!$C$22*E134+Assumptions!$C$23*F134</f>
        <v>2.277340016055053E-2</v>
      </c>
      <c r="H134" s="119"/>
    </row>
    <row r="135" spans="1:8" ht="24" customHeight="1" x14ac:dyDescent="0.2">
      <c r="A135" s="37">
        <v>1993</v>
      </c>
      <c r="B135" s="119">
        <v>2.8109600000000002E-2</v>
      </c>
      <c r="C135" s="119"/>
      <c r="D135" s="119">
        <v>7.0599999999999996E-2</v>
      </c>
      <c r="E135" s="119">
        <v>0.22989553482096697</v>
      </c>
      <c r="F135" s="119">
        <v>0</v>
      </c>
      <c r="G135" s="119">
        <f>Assumptions!$C$21*D135+Assumptions!$C$22*E135+Assumptions!$C$23*F135</f>
        <v>0.11132866044629008</v>
      </c>
      <c r="H135" s="119"/>
    </row>
    <row r="136" spans="1:8" ht="24" customHeight="1" x14ac:dyDescent="0.2">
      <c r="A136" s="37">
        <v>1994</v>
      </c>
      <c r="B136" s="119">
        <v>2.5974000000000001E-2</v>
      </c>
      <c r="C136" s="119"/>
      <c r="D136" s="119">
        <v>-1.54E-2</v>
      </c>
      <c r="E136" s="119">
        <v>-8.5027336554397356E-2</v>
      </c>
      <c r="F136" s="119">
        <v>0</v>
      </c>
      <c r="G136" s="119">
        <f>Assumptions!$C$21*D136+Assumptions!$C$22*E136+Assumptions!$C$23*F136</f>
        <v>-3.4748200966319205E-2</v>
      </c>
      <c r="H136" s="119"/>
    </row>
    <row r="137" spans="1:8" ht="24" customHeight="1" x14ac:dyDescent="0.2">
      <c r="A137" s="37">
        <v>1995</v>
      </c>
      <c r="B137" s="119">
        <v>2.5316499999999999E-2</v>
      </c>
      <c r="C137" s="119"/>
      <c r="D137" s="119">
        <v>0.34110000000000001</v>
      </c>
      <c r="E137" s="119">
        <v>0.10702742983999031</v>
      </c>
      <c r="F137" s="119">
        <v>0</v>
      </c>
      <c r="G137" s="119">
        <f>Assumptions!$C$21*D137+Assumptions!$C$22*E137+Assumptions!$C$23*F137</f>
        <v>0.23676822895199709</v>
      </c>
      <c r="H137" s="119"/>
    </row>
    <row r="138" spans="1:8" ht="24" customHeight="1" x14ac:dyDescent="0.2">
      <c r="A138" s="37">
        <v>1996</v>
      </c>
      <c r="B138" s="119">
        <v>3.3788200000000004E-2</v>
      </c>
      <c r="C138" s="119"/>
      <c r="D138" s="119">
        <v>0.2026</v>
      </c>
      <c r="E138" s="119">
        <v>2.2542674894354423E-2</v>
      </c>
      <c r="F138" s="119">
        <v>0</v>
      </c>
      <c r="G138" s="119">
        <f>Assumptions!$C$21*D138+Assumptions!$C$22*E138+Assumptions!$C$23*F138</f>
        <v>0.12832280246830632</v>
      </c>
      <c r="H138" s="119"/>
    </row>
    <row r="139" spans="1:8" ht="24" customHeight="1" x14ac:dyDescent="0.2">
      <c r="A139" s="37">
        <v>1997</v>
      </c>
      <c r="B139" s="119">
        <v>1.6970499999999999E-2</v>
      </c>
      <c r="C139" s="119"/>
      <c r="D139" s="119">
        <v>0.31009999999999999</v>
      </c>
      <c r="E139" s="119">
        <v>-3.9650839115386458E-2</v>
      </c>
      <c r="F139" s="119">
        <v>0</v>
      </c>
      <c r="G139" s="119">
        <f>Assumptions!$C$21*D139+Assumptions!$C$22*E139+Assumptions!$C$23*F139</f>
        <v>0.17416474826538403</v>
      </c>
      <c r="H139" s="119"/>
    </row>
    <row r="140" spans="1:8" ht="24" customHeight="1" x14ac:dyDescent="0.2">
      <c r="A140" s="37">
        <v>1998</v>
      </c>
      <c r="B140" s="119">
        <v>1.6069199999999999E-2</v>
      </c>
      <c r="C140" s="119"/>
      <c r="D140" s="119">
        <v>0.26669999999999999</v>
      </c>
      <c r="E140" s="119">
        <v>0.20499882018504434</v>
      </c>
      <c r="F140" s="119">
        <v>0</v>
      </c>
      <c r="G140" s="119">
        <f>Assumptions!$C$21*D140+Assumptions!$C$22*E140+Assumptions!$C$23*F140</f>
        <v>0.2215196460555133</v>
      </c>
      <c r="H140" s="119"/>
    </row>
    <row r="141" spans="1:8" ht="24" customHeight="1" x14ac:dyDescent="0.2">
      <c r="A141" s="37">
        <v>1999</v>
      </c>
      <c r="B141" s="119">
        <v>2.6764E-2</v>
      </c>
      <c r="C141" s="119"/>
      <c r="D141" s="119">
        <v>0.1953</v>
      </c>
      <c r="E141" s="119">
        <v>-4.4780478653839197E-2</v>
      </c>
      <c r="F141" s="119">
        <v>0</v>
      </c>
      <c r="G141" s="119">
        <f>Assumptions!$C$21*D141+Assumptions!$C$22*E141+Assumptions!$C$23*F141</f>
        <v>0.10374585640384823</v>
      </c>
      <c r="H141" s="119"/>
    </row>
    <row r="142" spans="1:8" ht="24" customHeight="1" x14ac:dyDescent="0.2">
      <c r="A142" s="37">
        <v>2000</v>
      </c>
      <c r="B142" s="119">
        <v>3.43602E-2</v>
      </c>
      <c r="C142" s="119"/>
      <c r="D142" s="119">
        <v>-0.1014</v>
      </c>
      <c r="E142" s="119">
        <v>4.5891608815610177E-2</v>
      </c>
      <c r="F142" s="119">
        <v>0</v>
      </c>
      <c r="G142" s="119">
        <f>Assumptions!$C$21*D142+Assumptions!$C$22*E142+Assumptions!$C$23*F142</f>
        <v>-4.7072517355316944E-2</v>
      </c>
      <c r="H142" s="119"/>
    </row>
    <row r="143" spans="1:8" ht="24" customHeight="1" x14ac:dyDescent="0.2">
      <c r="A143" s="37">
        <v>2001</v>
      </c>
      <c r="B143" s="119">
        <v>1.6036700000000001E-2</v>
      </c>
      <c r="C143" s="119"/>
      <c r="D143" s="119">
        <v>-0.13039999999999999</v>
      </c>
      <c r="E143" s="119">
        <v>-5.6547143796100721E-2</v>
      </c>
      <c r="F143" s="119">
        <v>0</v>
      </c>
      <c r="G143" s="119">
        <f>Assumptions!$C$21*D143+Assumptions!$C$22*E143+Assumptions!$C$23*F143</f>
        <v>-9.5204143138830202E-2</v>
      </c>
      <c r="H143" s="119"/>
    </row>
    <row r="144" spans="1:8" ht="24" customHeight="1" x14ac:dyDescent="0.2">
      <c r="A144" s="37">
        <v>2002</v>
      </c>
      <c r="B144" s="119">
        <v>2.48027E-2</v>
      </c>
      <c r="C144" s="119"/>
      <c r="D144" s="119">
        <v>-0.23369999999999999</v>
      </c>
      <c r="E144" s="119">
        <v>7.7691480996642276E-2</v>
      </c>
      <c r="F144" s="119">
        <v>0</v>
      </c>
      <c r="G144" s="119">
        <f>Assumptions!$C$21*D144+Assumptions!$C$22*E144+Assumptions!$C$23*F144</f>
        <v>-0.11691255570100731</v>
      </c>
      <c r="H144" s="119"/>
    </row>
    <row r="145" spans="1:8" ht="24" customHeight="1" x14ac:dyDescent="0.2">
      <c r="A145" s="37">
        <v>2003</v>
      </c>
      <c r="B145" s="119">
        <v>2.0352000000000002E-2</v>
      </c>
      <c r="C145" s="119"/>
      <c r="D145" s="119">
        <v>0.26379999999999998</v>
      </c>
      <c r="E145" s="119">
        <v>3.9796733898728495E-2</v>
      </c>
      <c r="F145" s="119">
        <v>0</v>
      </c>
      <c r="G145" s="119">
        <f>Assumptions!$C$21*D145+Assumptions!$C$22*E145+Assumptions!$C$23*F145</f>
        <v>0.17021902016961851</v>
      </c>
      <c r="H145" s="119"/>
    </row>
    <row r="146" spans="1:8" ht="24" customHeight="1" x14ac:dyDescent="0.2">
      <c r="A146" s="37">
        <v>2004</v>
      </c>
      <c r="B146" s="119">
        <v>3.34232E-2</v>
      </c>
      <c r="C146" s="119"/>
      <c r="D146" s="119">
        <v>8.9899999999999994E-2</v>
      </c>
      <c r="E146" s="119">
        <v>5.7538743128890242E-2</v>
      </c>
      <c r="F146" s="119">
        <v>0</v>
      </c>
      <c r="G146" s="119">
        <f>Assumptions!$C$21*D146+Assumptions!$C$22*E146+Assumptions!$C$23*F146</f>
        <v>7.1201622938667067E-2</v>
      </c>
      <c r="H146" s="119"/>
    </row>
    <row r="147" spans="1:8" ht="24" customHeight="1" x14ac:dyDescent="0.2">
      <c r="A147" s="37">
        <v>2005</v>
      </c>
      <c r="B147" s="119">
        <v>3.3385499999999999E-2</v>
      </c>
      <c r="C147" s="119"/>
      <c r="D147" s="119">
        <v>0.03</v>
      </c>
      <c r="E147" s="119">
        <v>7.1662634262872629E-2</v>
      </c>
      <c r="F147" s="119">
        <v>0</v>
      </c>
      <c r="G147" s="119">
        <f>Assumptions!$C$21*D147+Assumptions!$C$22*E147+Assumptions!$C$23*F147</f>
        <v>3.9498790278861787E-2</v>
      </c>
      <c r="H147" s="119"/>
    </row>
    <row r="148" spans="1:8" ht="24" customHeight="1" x14ac:dyDescent="0.2">
      <c r="A148" s="37">
        <v>2006</v>
      </c>
      <c r="B148" s="119">
        <v>2.52398E-2</v>
      </c>
      <c r="C148" s="119"/>
      <c r="D148" s="119">
        <v>0.13619999999999999</v>
      </c>
      <c r="E148" s="119">
        <v>-1.3081263084043573E-2</v>
      </c>
      <c r="F148" s="119">
        <v>0</v>
      </c>
      <c r="G148" s="119">
        <f>Assumptions!$C$21*D148+Assumptions!$C$22*E148+Assumptions!$C$23*F148</f>
        <v>7.7795621074786908E-2</v>
      </c>
      <c r="H148" s="119"/>
    </row>
    <row r="149" spans="1:8" ht="24" customHeight="1" x14ac:dyDescent="0.2">
      <c r="A149" s="37">
        <v>2007</v>
      </c>
      <c r="B149" s="119">
        <v>4.1088100000000002E-2</v>
      </c>
      <c r="C149" s="119"/>
      <c r="D149" s="119">
        <v>3.5299999999999998E-2</v>
      </c>
      <c r="E149" s="119">
        <v>-0.1245611572547527</v>
      </c>
      <c r="F149" s="119">
        <v>0</v>
      </c>
      <c r="G149" s="119">
        <f>Assumptions!$C$21*D149+Assumptions!$C$22*E149+Assumptions!$C$23*F149</f>
        <v>-1.618834717642581E-2</v>
      </c>
      <c r="H149" s="119"/>
    </row>
    <row r="150" spans="1:8" ht="24" customHeight="1" x14ac:dyDescent="0.2">
      <c r="A150" s="37">
        <v>2008</v>
      </c>
      <c r="B150" s="119">
        <v>-2.2230000000000001E-4</v>
      </c>
      <c r="C150" s="119"/>
      <c r="D150" s="119">
        <v>-0.38490000000000002</v>
      </c>
      <c r="E150" s="119">
        <v>0.18322036619321835</v>
      </c>
      <c r="F150" s="119">
        <v>0</v>
      </c>
      <c r="G150" s="119">
        <f>Assumptions!$C$21*D150+Assumptions!$C$22*E150+Assumptions!$C$23*F150</f>
        <v>-0.17597389014203452</v>
      </c>
      <c r="H150" s="119"/>
    </row>
    <row r="151" spans="1:8" ht="24" customHeight="1" x14ac:dyDescent="0.2">
      <c r="A151" s="37">
        <v>2009</v>
      </c>
      <c r="B151" s="119">
        <v>2.8141199999999998E-2</v>
      </c>
      <c r="C151" s="119"/>
      <c r="D151" s="119">
        <v>0.23449999999999999</v>
      </c>
      <c r="E151" s="119">
        <v>-1.2067376823880524E-2</v>
      </c>
      <c r="F151" s="119">
        <v>0</v>
      </c>
      <c r="G151" s="119">
        <f>Assumptions!$C$21*D151+Assumptions!$C$22*E151+Assumptions!$C$23*F151</f>
        <v>0.13707978695283585</v>
      </c>
      <c r="H151" s="119"/>
    </row>
    <row r="152" spans="1:8" ht="24" customHeight="1" x14ac:dyDescent="0.2">
      <c r="A152" s="37">
        <v>2010</v>
      </c>
      <c r="B152" s="119">
        <v>1.4377899999999999E-2</v>
      </c>
      <c r="C152" s="119"/>
      <c r="D152" s="119">
        <v>0.1278</v>
      </c>
      <c r="E152" s="119">
        <v>-9.9715214023666052E-2</v>
      </c>
      <c r="F152" s="119">
        <v>0</v>
      </c>
      <c r="G152" s="119">
        <f>Assumptions!$C$21*D152+Assumptions!$C$22*E152+Assumptions!$C$23*F152</f>
        <v>4.6765435792900184E-2</v>
      </c>
      <c r="H152" s="119"/>
    </row>
    <row r="153" spans="1:8" ht="24" customHeight="1" x14ac:dyDescent="0.2">
      <c r="A153" s="37">
        <v>2011</v>
      </c>
      <c r="B153" s="119">
        <v>3.0620699999999997E-2</v>
      </c>
      <c r="C153" s="119"/>
      <c r="D153" s="119">
        <v>0</v>
      </c>
      <c r="E153" s="119">
        <v>6.7529063834371149E-3</v>
      </c>
      <c r="F153" s="119">
        <v>0</v>
      </c>
      <c r="G153" s="119">
        <f>Assumptions!$C$21*D153+Assumptions!$C$22*E153+Assumptions!$C$23*F153</f>
        <v>2.0258719150311345E-3</v>
      </c>
      <c r="H153" s="119"/>
    </row>
    <row r="154" spans="1:8" ht="24" customHeight="1" x14ac:dyDescent="0.2">
      <c r="A154" s="37">
        <v>2012</v>
      </c>
      <c r="B154" s="119">
        <v>1.7595E-2</v>
      </c>
      <c r="C154" s="119"/>
      <c r="D154" s="119">
        <v>0.1341</v>
      </c>
      <c r="E154" s="119">
        <v>0.14643048699601474</v>
      </c>
      <c r="F154" s="119">
        <v>0</v>
      </c>
      <c r="G154" s="119">
        <f>Assumptions!$C$21*D154+Assumptions!$C$22*E154+Assumptions!$C$23*F154</f>
        <v>0.12438914609880442</v>
      </c>
      <c r="H154" s="119"/>
    </row>
    <row r="155" spans="1:8" ht="24" customHeight="1" x14ac:dyDescent="0.2">
      <c r="A155" s="37">
        <v>2013</v>
      </c>
      <c r="B155" s="119">
        <v>1.51284E-2</v>
      </c>
      <c r="C155" s="119"/>
      <c r="D155" s="119">
        <v>0.29599999999999999</v>
      </c>
      <c r="E155" s="119">
        <v>-5.2036023322137359E-2</v>
      </c>
      <c r="F155" s="119">
        <v>0</v>
      </c>
      <c r="G155" s="119">
        <f>Assumptions!$C$21*D155+Assumptions!$C$22*E155+Assumptions!$C$23*F155</f>
        <v>0.16198919300335876</v>
      </c>
      <c r="H155" s="119"/>
    </row>
    <row r="156" spans="1:8" ht="24" customHeight="1" x14ac:dyDescent="0.2">
      <c r="A156" s="37">
        <v>2014</v>
      </c>
      <c r="B156" s="119">
        <v>6.5312E-3</v>
      </c>
      <c r="C156" s="119"/>
      <c r="D156" s="119">
        <v>0.1139</v>
      </c>
      <c r="E156" s="119">
        <v>3.1603210683608218E-2</v>
      </c>
      <c r="F156" s="119">
        <v>0</v>
      </c>
      <c r="G156" s="119">
        <f>Assumptions!$C$21*D156+Assumptions!$C$22*E156+Assumptions!$C$23*F156</f>
        <v>7.7820963205082458E-2</v>
      </c>
      <c r="H156" s="119"/>
    </row>
    <row r="157" spans="1:8" ht="24" customHeight="1" x14ac:dyDescent="0.2">
      <c r="A157" s="37">
        <v>2015</v>
      </c>
      <c r="B157" s="119">
        <v>6.3871999999999991E-3</v>
      </c>
      <c r="C157" s="119"/>
      <c r="D157" s="119">
        <v>-7.3000000000000001E-3</v>
      </c>
      <c r="E157" s="119">
        <v>4.0442605922373955E-2</v>
      </c>
      <c r="F157" s="119">
        <v>0</v>
      </c>
      <c r="G157" s="119">
        <f>Assumptions!$C$21*D157+Assumptions!$C$22*E157+Assumptions!$C$23*F157</f>
        <v>7.7527817767121861E-3</v>
      </c>
      <c r="H157" s="119"/>
    </row>
    <row r="158" spans="1:8" ht="24" customHeight="1" x14ac:dyDescent="0.2">
      <c r="A158" s="37">
        <v>2016</v>
      </c>
      <c r="B158" s="119">
        <v>2.0508000000000002E-2</v>
      </c>
      <c r="C158" s="119"/>
      <c r="D158" s="119">
        <v>9.5399999999999999E-2</v>
      </c>
      <c r="E158" s="119">
        <v>2.0590112155277274E-2</v>
      </c>
      <c r="F158" s="119">
        <v>0</v>
      </c>
      <c r="G158" s="119">
        <f>Assumptions!$C$21*D158+Assumptions!$C$22*E158+Assumptions!$C$23*F158</f>
        <v>6.3417033646583187E-2</v>
      </c>
      <c r="H158" s="119"/>
    </row>
    <row r="159" spans="1:8" ht="24" customHeight="1" x14ac:dyDescent="0.2">
      <c r="A159" s="37">
        <v>2017</v>
      </c>
      <c r="B159" s="119">
        <v>2.12993E-2</v>
      </c>
      <c r="C159" s="119"/>
      <c r="D159" s="119">
        <v>0.19420000000000001</v>
      </c>
      <c r="E159" s="119">
        <v>5.152013895452575E-2</v>
      </c>
      <c r="F159" s="119">
        <v>0</v>
      </c>
      <c r="G159" s="119">
        <f>Assumptions!$C$21*D159+Assumptions!$C$22*E159+Assumptions!$C$23*F159</f>
        <v>0.13197604168635774</v>
      </c>
      <c r="H159" s="119"/>
    </row>
    <row r="160" spans="1:8" ht="24" customHeight="1" x14ac:dyDescent="0.2">
      <c r="A160" s="37">
        <v>2018</v>
      </c>
      <c r="B160" s="119">
        <v>2.0023800000000001E-2</v>
      </c>
      <c r="C160" s="119"/>
      <c r="D160" s="119">
        <v>-6.2399999999999997E-2</v>
      </c>
      <c r="E160" s="119">
        <v>-4.7534040607118633E-2</v>
      </c>
      <c r="F160" s="119">
        <v>0</v>
      </c>
      <c r="G160" s="119">
        <f>Assumptions!$C$21*D160+Assumptions!$C$22*E160+Assumptions!$C$23*F160</f>
        <v>-5.170021218213558E-2</v>
      </c>
      <c r="H160" s="119"/>
    </row>
    <row r="161" spans="1:8" ht="24" customHeight="1" x14ac:dyDescent="0.2">
      <c r="A161" s="37">
        <v>2019</v>
      </c>
      <c r="B161" s="119">
        <v>2.3139900000000001E-2</v>
      </c>
      <c r="C161" s="119"/>
      <c r="D161" s="119">
        <v>0.2888</v>
      </c>
      <c r="E161" s="119">
        <v>-8.0000966677050894E-2</v>
      </c>
      <c r="F161" s="119">
        <v>0</v>
      </c>
      <c r="G161" s="119">
        <f>Assumptions!$C$21*D161+Assumptions!$C$22*E161+Assumptions!$C$23*F161</f>
        <v>0.14927970999688472</v>
      </c>
      <c r="H161" s="119"/>
    </row>
    <row r="162" spans="1:8" ht="24" customHeight="1" x14ac:dyDescent="0.2">
      <c r="A162" s="37">
        <v>2020</v>
      </c>
      <c r="B162" s="119">
        <v>1.32204E-2</v>
      </c>
      <c r="C162" s="119"/>
      <c r="D162" s="119">
        <v>0.16259999999999999</v>
      </c>
      <c r="E162" s="119">
        <v>7.024041045491114E-2</v>
      </c>
      <c r="F162" s="119">
        <v>0</v>
      </c>
      <c r="G162" s="119">
        <f>Assumptions!$C$21*D162+Assumptions!$C$22*E162+Assumptions!$C$23*F162</f>
        <v>0.11863212313647334</v>
      </c>
      <c r="H162" s="119"/>
    </row>
    <row r="163" spans="1:8" ht="24" customHeight="1" x14ac:dyDescent="0.2">
      <c r="A163" s="37">
        <v>2021</v>
      </c>
      <c r="B163" s="119">
        <v>7.1944599999999997E-2</v>
      </c>
      <c r="C163" s="119"/>
      <c r="D163" s="119">
        <v>0.26889999999999997</v>
      </c>
      <c r="E163" s="119">
        <v>0.25725002833090699</v>
      </c>
      <c r="F163" s="119">
        <v>0</v>
      </c>
      <c r="G163" s="119">
        <f>Assumptions!$C$21*D163+Assumptions!$C$22*E163+Assumptions!$C$23*F163</f>
        <v>0.2385150084992721</v>
      </c>
      <c r="H163" s="119"/>
    </row>
    <row r="164" spans="1:8" ht="24" customHeight="1" x14ac:dyDescent="0.2">
      <c r="A164" s="37">
        <v>2022</v>
      </c>
      <c r="B164" s="119">
        <v>6.4449400000000004E-2</v>
      </c>
      <c r="C164" s="119"/>
      <c r="D164" s="119">
        <v>-0.19439999999999999</v>
      </c>
      <c r="E164" s="119">
        <v>3.8800000000000001E-2</v>
      </c>
      <c r="F164" s="119">
        <v>0</v>
      </c>
      <c r="G164" s="119">
        <f>Assumptions!$C$21*D164+Assumptions!$C$22*E164+Assumptions!$C$23*F164</f>
        <v>-0.105</v>
      </c>
      <c r="H164" s="119"/>
    </row>
    <row r="165" spans="1:8" ht="24" customHeight="1" x14ac:dyDescent="0.2">
      <c r="A165" s="37">
        <v>2023</v>
      </c>
      <c r="B165" s="119">
        <v>3.1200000000000002E-2</v>
      </c>
      <c r="C165" s="119"/>
      <c r="D165" s="119">
        <v>0.24229999999999999</v>
      </c>
      <c r="E165" s="119">
        <v>0</v>
      </c>
      <c r="F165" s="119">
        <v>0</v>
      </c>
      <c r="G165" s="119">
        <f>Assumptions!$C$21*D165+Assumptions!$C$22*E165+Assumptions!$C$23*F165</f>
        <v>0.14537999999999998</v>
      </c>
      <c r="H165" s="119"/>
    </row>
    <row r="166" spans="1:8" ht="24" customHeight="1" x14ac:dyDescent="0.2">
      <c r="A166" s="37">
        <v>2024</v>
      </c>
      <c r="B166" s="124">
        <f t="shared" ref="B166:B182" si="3">$M$43</f>
        <v>2.5000000000000001E-2</v>
      </c>
      <c r="C166" s="119"/>
      <c r="D166" s="119"/>
      <c r="E166" s="119"/>
      <c r="F166" s="119"/>
      <c r="G166" s="124">
        <f t="shared" ref="G166:G182" si="4">$M$10</f>
        <v>6.5000000000000002E-2</v>
      </c>
    </row>
    <row r="167" spans="1:8" ht="24" customHeight="1" x14ac:dyDescent="0.2">
      <c r="A167" s="37">
        <v>2025</v>
      </c>
      <c r="B167" s="124">
        <f t="shared" si="3"/>
        <v>2.5000000000000001E-2</v>
      </c>
      <c r="C167" s="119"/>
      <c r="D167" s="119"/>
      <c r="E167" s="119"/>
      <c r="F167" s="119"/>
      <c r="G167" s="124">
        <f t="shared" si="4"/>
        <v>6.5000000000000002E-2</v>
      </c>
    </row>
    <row r="168" spans="1:8" ht="24" customHeight="1" x14ac:dyDescent="0.2">
      <c r="A168" s="37">
        <v>2026</v>
      </c>
      <c r="B168" s="124">
        <f t="shared" si="3"/>
        <v>2.5000000000000001E-2</v>
      </c>
      <c r="C168" s="119"/>
      <c r="D168" s="119"/>
      <c r="E168" s="119"/>
      <c r="F168" s="119"/>
      <c r="G168" s="124">
        <f t="shared" si="4"/>
        <v>6.5000000000000002E-2</v>
      </c>
    </row>
    <row r="169" spans="1:8" ht="24" customHeight="1" x14ac:dyDescent="0.2">
      <c r="A169" s="37">
        <v>2027</v>
      </c>
      <c r="B169" s="124">
        <f t="shared" si="3"/>
        <v>2.5000000000000001E-2</v>
      </c>
      <c r="C169" s="119"/>
      <c r="D169" s="119"/>
      <c r="E169" s="119"/>
      <c r="F169" s="119"/>
      <c r="G169" s="124">
        <f t="shared" si="4"/>
        <v>6.5000000000000002E-2</v>
      </c>
    </row>
    <row r="170" spans="1:8" ht="24" customHeight="1" x14ac:dyDescent="0.2">
      <c r="A170" s="37">
        <v>2028</v>
      </c>
      <c r="B170" s="124">
        <f t="shared" si="3"/>
        <v>2.5000000000000001E-2</v>
      </c>
      <c r="C170" s="119"/>
      <c r="D170" s="119"/>
      <c r="E170" s="119"/>
      <c r="F170" s="119"/>
      <c r="G170" s="124">
        <f t="shared" si="4"/>
        <v>6.5000000000000002E-2</v>
      </c>
    </row>
    <row r="171" spans="1:8" ht="24" customHeight="1" x14ac:dyDescent="0.2">
      <c r="A171" s="37">
        <v>2029</v>
      </c>
      <c r="B171" s="124">
        <f t="shared" si="3"/>
        <v>2.5000000000000001E-2</v>
      </c>
      <c r="C171" s="119"/>
      <c r="D171" s="119"/>
      <c r="E171" s="119"/>
      <c r="F171" s="119"/>
      <c r="G171" s="124">
        <f t="shared" si="4"/>
        <v>6.5000000000000002E-2</v>
      </c>
    </row>
    <row r="172" spans="1:8" ht="24" customHeight="1" x14ac:dyDescent="0.2">
      <c r="A172" s="37">
        <v>2030</v>
      </c>
      <c r="B172" s="124">
        <f t="shared" si="3"/>
        <v>2.5000000000000001E-2</v>
      </c>
      <c r="C172" s="119"/>
      <c r="D172" s="119"/>
      <c r="E172" s="119"/>
      <c r="F172" s="119"/>
      <c r="G172" s="124">
        <f t="shared" si="4"/>
        <v>6.5000000000000002E-2</v>
      </c>
    </row>
    <row r="173" spans="1:8" ht="24" customHeight="1" x14ac:dyDescent="0.2">
      <c r="A173" s="37">
        <v>2031</v>
      </c>
      <c r="B173" s="124">
        <f t="shared" si="3"/>
        <v>2.5000000000000001E-2</v>
      </c>
      <c r="C173" s="119"/>
      <c r="D173" s="119"/>
      <c r="E173" s="119"/>
      <c r="F173" s="119"/>
      <c r="G173" s="124">
        <f t="shared" si="4"/>
        <v>6.5000000000000002E-2</v>
      </c>
    </row>
    <row r="174" spans="1:8" ht="24" customHeight="1" x14ac:dyDescent="0.2">
      <c r="A174" s="37">
        <v>2032</v>
      </c>
      <c r="B174" s="124">
        <f t="shared" si="3"/>
        <v>2.5000000000000001E-2</v>
      </c>
      <c r="C174" s="119"/>
      <c r="D174" s="119"/>
      <c r="E174" s="119"/>
      <c r="F174" s="119"/>
      <c r="G174" s="124">
        <f t="shared" si="4"/>
        <v>6.5000000000000002E-2</v>
      </c>
    </row>
    <row r="175" spans="1:8" ht="24" customHeight="1" x14ac:dyDescent="0.2">
      <c r="A175" s="37">
        <v>2033</v>
      </c>
      <c r="B175" s="124">
        <f t="shared" si="3"/>
        <v>2.5000000000000001E-2</v>
      </c>
      <c r="C175" s="119"/>
      <c r="D175" s="119"/>
      <c r="E175" s="119"/>
      <c r="F175" s="119"/>
      <c r="G175" s="124">
        <f t="shared" si="4"/>
        <v>6.5000000000000002E-2</v>
      </c>
    </row>
    <row r="176" spans="1:8" ht="24" customHeight="1" x14ac:dyDescent="0.2">
      <c r="A176" s="37">
        <v>2034</v>
      </c>
      <c r="B176" s="124">
        <f t="shared" si="3"/>
        <v>2.5000000000000001E-2</v>
      </c>
      <c r="C176" s="119"/>
      <c r="D176" s="119"/>
      <c r="E176" s="119"/>
      <c r="F176" s="119"/>
      <c r="G176" s="124">
        <f t="shared" si="4"/>
        <v>6.5000000000000002E-2</v>
      </c>
    </row>
    <row r="177" spans="1:7" ht="24" customHeight="1" x14ac:dyDescent="0.2">
      <c r="A177" s="37">
        <v>2035</v>
      </c>
      <c r="B177" s="124">
        <f t="shared" si="3"/>
        <v>2.5000000000000001E-2</v>
      </c>
      <c r="C177" s="119"/>
      <c r="D177" s="119"/>
      <c r="E177" s="119"/>
      <c r="F177" s="119"/>
      <c r="G177" s="124">
        <f t="shared" si="4"/>
        <v>6.5000000000000002E-2</v>
      </c>
    </row>
    <row r="178" spans="1:7" ht="24" customHeight="1" x14ac:dyDescent="0.2">
      <c r="A178" s="37">
        <v>2036</v>
      </c>
      <c r="B178" s="124">
        <f t="shared" si="3"/>
        <v>2.5000000000000001E-2</v>
      </c>
      <c r="C178" s="119"/>
      <c r="D178" s="119"/>
      <c r="E178" s="119"/>
      <c r="F178" s="119"/>
      <c r="G178" s="124">
        <f t="shared" si="4"/>
        <v>6.5000000000000002E-2</v>
      </c>
    </row>
    <row r="179" spans="1:7" ht="24" customHeight="1" x14ac:dyDescent="0.2">
      <c r="A179" s="37">
        <v>2037</v>
      </c>
      <c r="B179" s="124">
        <f t="shared" si="3"/>
        <v>2.5000000000000001E-2</v>
      </c>
      <c r="C179" s="119"/>
      <c r="D179" s="119"/>
      <c r="E179" s="119"/>
      <c r="F179" s="119"/>
      <c r="G179" s="124">
        <f t="shared" si="4"/>
        <v>6.5000000000000002E-2</v>
      </c>
    </row>
    <row r="180" spans="1:7" ht="24" customHeight="1" x14ac:dyDescent="0.2">
      <c r="A180" s="37">
        <v>2038</v>
      </c>
      <c r="B180" s="124">
        <f t="shared" si="3"/>
        <v>2.5000000000000001E-2</v>
      </c>
      <c r="C180" s="119"/>
      <c r="D180" s="119"/>
      <c r="E180" s="119"/>
      <c r="F180" s="119"/>
      <c r="G180" s="124">
        <f t="shared" si="4"/>
        <v>6.5000000000000002E-2</v>
      </c>
    </row>
    <row r="181" spans="1:7" ht="24" customHeight="1" x14ac:dyDescent="0.2">
      <c r="A181" s="37">
        <v>2039</v>
      </c>
      <c r="B181" s="124">
        <f t="shared" si="3"/>
        <v>2.5000000000000001E-2</v>
      </c>
      <c r="C181" s="119"/>
      <c r="D181" s="119"/>
      <c r="E181" s="119"/>
      <c r="F181" s="119"/>
      <c r="G181" s="124">
        <f t="shared" si="4"/>
        <v>6.5000000000000002E-2</v>
      </c>
    </row>
    <row r="182" spans="1:7" ht="24" customHeight="1" x14ac:dyDescent="0.2">
      <c r="A182" s="37">
        <v>2040</v>
      </c>
      <c r="B182" s="124">
        <f t="shared" si="3"/>
        <v>2.5000000000000001E-2</v>
      </c>
      <c r="C182" s="119"/>
      <c r="D182" s="119"/>
      <c r="E182" s="119"/>
      <c r="F182" s="119"/>
      <c r="G182" s="124">
        <f t="shared" si="4"/>
        <v>6.5000000000000002E-2</v>
      </c>
    </row>
    <row r="183" spans="1:7" ht="24" customHeight="1" x14ac:dyDescent="0.2">
      <c r="A183" s="37"/>
      <c r="B183" s="119"/>
      <c r="C183" s="119"/>
      <c r="D183" s="119"/>
      <c r="E183" s="119"/>
      <c r="F183" s="119"/>
      <c r="G183" s="119"/>
    </row>
    <row r="184" spans="1:7" ht="24" customHeight="1" x14ac:dyDescent="0.2">
      <c r="A184" s="37"/>
      <c r="B184" s="119"/>
      <c r="C184" s="119"/>
      <c r="D184" s="119"/>
      <c r="E184" s="119"/>
      <c r="F184" s="119"/>
      <c r="G184" s="119"/>
    </row>
    <row r="185" spans="1:7" ht="24" customHeight="1" x14ac:dyDescent="0.2">
      <c r="A185" s="37"/>
      <c r="B185" s="119"/>
      <c r="C185" s="119"/>
      <c r="D185" s="119"/>
      <c r="E185" s="119"/>
      <c r="F185" s="119"/>
      <c r="G185" s="119"/>
    </row>
    <row r="186" spans="1:7" ht="24" customHeight="1" x14ac:dyDescent="0.2">
      <c r="A186" s="37"/>
      <c r="B186" s="119"/>
      <c r="C186" s="119"/>
      <c r="D186" s="119"/>
      <c r="E186" s="119"/>
      <c r="F186" s="119"/>
      <c r="G186" s="119"/>
    </row>
    <row r="187" spans="1:7" ht="24" customHeight="1" x14ac:dyDescent="0.2">
      <c r="A187" s="37"/>
      <c r="B187" s="119"/>
      <c r="C187" s="119"/>
      <c r="D187" s="119"/>
      <c r="E187" s="119"/>
      <c r="F187" s="119"/>
      <c r="G187" s="119"/>
    </row>
    <row r="188" spans="1:7" ht="24" customHeight="1" x14ac:dyDescent="0.2">
      <c r="A188" s="37"/>
      <c r="B188" s="119"/>
      <c r="C188" s="119"/>
      <c r="D188" s="119"/>
      <c r="E188" s="119"/>
      <c r="F188" s="119"/>
      <c r="G188" s="119"/>
    </row>
    <row r="189" spans="1:7" ht="24" customHeight="1" x14ac:dyDescent="0.2">
      <c r="A189" s="37"/>
      <c r="B189" s="119"/>
      <c r="C189" s="119"/>
      <c r="D189" s="119"/>
      <c r="E189" s="119"/>
      <c r="F189" s="119"/>
      <c r="G189" s="119"/>
    </row>
    <row r="190" spans="1:7" ht="24" customHeight="1" x14ac:dyDescent="0.2">
      <c r="A190" s="37"/>
      <c r="B190" s="119"/>
      <c r="C190" s="119"/>
      <c r="D190" s="119"/>
      <c r="E190" s="119"/>
      <c r="F190" s="119"/>
      <c r="G190" s="119"/>
    </row>
    <row r="191" spans="1:7" ht="24" customHeight="1" x14ac:dyDescent="0.2">
      <c r="A191" s="37"/>
      <c r="B191" s="119"/>
      <c r="C191" s="119"/>
      <c r="D191" s="119"/>
      <c r="E191" s="119"/>
      <c r="F191" s="119"/>
      <c r="G191" s="119"/>
    </row>
    <row r="192" spans="1:7" ht="24" customHeight="1" x14ac:dyDescent="0.2">
      <c r="A192" s="37"/>
      <c r="B192" s="119"/>
      <c r="C192" s="119"/>
      <c r="D192" s="119"/>
      <c r="E192" s="119"/>
      <c r="F192" s="119"/>
      <c r="G192" s="119"/>
    </row>
    <row r="193" ht="24" customHeight="1" x14ac:dyDescent="0.2"/>
    <row r="194" ht="24" customHeight="1" x14ac:dyDescent="0.2"/>
    <row r="195" ht="24" customHeight="1" x14ac:dyDescent="0.2"/>
    <row r="196" ht="24" customHeight="1" x14ac:dyDescent="0.2"/>
    <row r="197" ht="24" customHeight="1" x14ac:dyDescent="0.2"/>
    <row r="198" ht="24" customHeight="1" x14ac:dyDescent="0.2"/>
    <row r="199" ht="24" customHeight="1" x14ac:dyDescent="0.2"/>
    <row r="200" ht="24" customHeight="1" x14ac:dyDescent="0.2"/>
    <row r="201" ht="24" customHeight="1" x14ac:dyDescent="0.2"/>
    <row r="202" ht="24" customHeight="1" x14ac:dyDescent="0.2"/>
    <row r="203" ht="24" customHeight="1" x14ac:dyDescent="0.2"/>
    <row r="204" ht="24" customHeight="1" x14ac:dyDescent="0.2"/>
    <row r="205" ht="24" customHeight="1" x14ac:dyDescent="0.2"/>
    <row r="206" ht="24" customHeight="1" x14ac:dyDescent="0.2"/>
    <row r="207" ht="24" customHeight="1" x14ac:dyDescent="0.2"/>
    <row r="208" ht="24" customHeight="1" x14ac:dyDescent="0.2"/>
    <row r="209" ht="24" customHeight="1" x14ac:dyDescent="0.2"/>
    <row r="210" ht="24" customHeight="1" x14ac:dyDescent="0.2"/>
    <row r="211" ht="24" customHeight="1" x14ac:dyDescent="0.2"/>
    <row r="212" ht="24" customHeight="1" x14ac:dyDescent="0.2"/>
    <row r="213" ht="24" customHeight="1" x14ac:dyDescent="0.2"/>
    <row r="214" ht="24" customHeight="1" x14ac:dyDescent="0.2"/>
    <row r="215" ht="24" customHeight="1" x14ac:dyDescent="0.2"/>
  </sheetData>
  <sheetProtection algorithmName="SHA-512" hashValue="THAqpyRAnUgMTYneN6xJVHZFO3enueEvm8iMr5NDv8GNQYQNQCfULjV32iOn/bQ9bnDyvdLY0QziBjKNBmXhZw==" saltValue="TMkyLulD+hQVIGXzc+QnLA==" spinCount="100000" sheet="1" objects="1" scenarios="1"/>
  <sortState xmlns:xlrd2="http://schemas.microsoft.com/office/spreadsheetml/2017/richdata2" ref="A70:G165">
    <sortCondition ref="A70:A165"/>
  </sortState>
  <mergeCells count="6">
    <mergeCell ref="J3:J4"/>
    <mergeCell ref="D68:F68"/>
    <mergeCell ref="B3:C3"/>
    <mergeCell ref="D3:E3"/>
    <mergeCell ref="F3:G3"/>
    <mergeCell ref="I3:I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76102-48EA-40C6-BD53-32798A6F3895}">
  <sheetPr codeName="Sheet2"/>
  <dimension ref="A1:AL50"/>
  <sheetViews>
    <sheetView showGridLines="0" showRowColHeaders="0" tabSelected="1" workbookViewId="0">
      <selection activeCell="A2" sqref="A2"/>
    </sheetView>
  </sheetViews>
  <sheetFormatPr defaultRowHeight="12.75" x14ac:dyDescent="0.2"/>
  <cols>
    <col min="1" max="1" width="12.7109375" customWidth="1"/>
    <col min="2" max="36" width="4.7109375" customWidth="1"/>
    <col min="37" max="37" width="12.7109375" customWidth="1"/>
    <col min="38" max="38" width="24.7109375" customWidth="1"/>
  </cols>
  <sheetData>
    <row r="1" spans="1:38" ht="15" customHeight="1" x14ac:dyDescent="0.2"/>
    <row r="2" spans="1:38" ht="30" customHeight="1" x14ac:dyDescent="0.2"/>
    <row r="3" spans="1:38" ht="15" customHeight="1" x14ac:dyDescent="0.2">
      <c r="A3" s="89"/>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row>
    <row r="4" spans="1:38" ht="15" customHeight="1" x14ac:dyDescent="0.2">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row>
    <row r="5" spans="1:38" ht="39.950000000000003" customHeight="1" x14ac:dyDescent="0.2">
      <c r="B5" s="147"/>
    </row>
    <row r="6" spans="1:38" ht="15" customHeight="1" x14ac:dyDescent="0.2">
      <c r="A6" s="59"/>
      <c r="B6" s="59"/>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row>
    <row r="7" spans="1:38" ht="15" customHeight="1" x14ac:dyDescent="0.2">
      <c r="A7" s="59"/>
      <c r="B7" s="59"/>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row>
    <row r="8" spans="1:38" ht="15" customHeight="1" x14ac:dyDescent="0.2">
      <c r="A8" s="59"/>
      <c r="B8" s="59"/>
      <c r="C8" s="59"/>
      <c r="D8" s="59"/>
      <c r="E8" s="59"/>
      <c r="F8" s="59"/>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row>
    <row r="9" spans="1:38" ht="15" customHeight="1" x14ac:dyDescent="0.2">
      <c r="A9" s="59"/>
      <c r="B9" s="59"/>
      <c r="C9" s="59"/>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row>
    <row r="10" spans="1:38" ht="15" customHeight="1" x14ac:dyDescent="0.2">
      <c r="A10" s="59"/>
      <c r="B10" s="59"/>
      <c r="C10" s="59"/>
      <c r="D10" s="59"/>
      <c r="E10" s="59"/>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row>
    <row r="11" spans="1:38" ht="15" customHeight="1" x14ac:dyDescent="0.2">
      <c r="A11" s="59"/>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row>
    <row r="12" spans="1:38" ht="15" customHeight="1" x14ac:dyDescent="0.2">
      <c r="A12" s="59"/>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row>
    <row r="13" spans="1:38" ht="15" customHeight="1" x14ac:dyDescent="0.2">
      <c r="A13" s="59"/>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row>
    <row r="14" spans="1:38" ht="15" customHeight="1" x14ac:dyDescent="0.2">
      <c r="A14" s="59"/>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row>
    <row r="15" spans="1:38" ht="15" customHeight="1" x14ac:dyDescent="0.2">
      <c r="A15" s="59"/>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row>
    <row r="16" spans="1:38" ht="15" customHeight="1" x14ac:dyDescent="0.2">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row>
    <row r="17" spans="1:38" ht="15" customHeight="1" x14ac:dyDescent="0.2">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row>
    <row r="18" spans="1:38" ht="15" customHeight="1" x14ac:dyDescent="0.2">
      <c r="A18" s="59"/>
      <c r="B18" s="59"/>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59"/>
    </row>
    <row r="19" spans="1:38" ht="15" customHeight="1" x14ac:dyDescent="0.2">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row>
    <row r="20" spans="1:38" ht="15" customHeight="1" x14ac:dyDescent="0.2">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row>
    <row r="21" spans="1:38" ht="15" customHeight="1" x14ac:dyDescent="0.2">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row>
    <row r="22" spans="1:38" ht="15" customHeight="1" x14ac:dyDescent="0.2">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row>
    <row r="23" spans="1:38" ht="15" customHeight="1" x14ac:dyDescent="0.2">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row>
    <row r="24" spans="1:38" ht="15" customHeight="1" x14ac:dyDescent="0.2">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row>
    <row r="25" spans="1:38" ht="15" customHeight="1" x14ac:dyDescent="0.2">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row>
    <row r="26" spans="1:38" ht="15" customHeight="1" x14ac:dyDescent="0.2">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row>
    <row r="27" spans="1:38" ht="15" customHeight="1" x14ac:dyDescent="0.2">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row>
    <row r="28" spans="1:38" ht="15" customHeight="1" x14ac:dyDescent="0.2">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59"/>
    </row>
    <row r="29" spans="1:38" ht="15" customHeight="1" x14ac:dyDescent="0.2">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row>
    <row r="30" spans="1:38" ht="15" customHeight="1" x14ac:dyDescent="0.2">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row>
    <row r="31" spans="1:38" ht="15" customHeight="1" x14ac:dyDescent="0.2">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row>
    <row r="32" spans="1:38" ht="15" customHeight="1" x14ac:dyDescent="0.2">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row>
    <row r="33" spans="1:38" ht="15" customHeight="1" x14ac:dyDescent="0.2">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row>
    <row r="34" spans="1:38" ht="15" customHeight="1" x14ac:dyDescent="0.2">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row>
    <row r="35" spans="1:38" ht="15" customHeight="1" x14ac:dyDescent="0.2">
      <c r="A35" s="83"/>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row>
    <row r="36" spans="1:38" ht="15" customHeight="1" x14ac:dyDescent="0.2">
      <c r="A36" s="246"/>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row>
    <row r="37" spans="1:38" ht="15" customHeight="1" x14ac:dyDescent="0.2">
      <c r="E37" s="294" t="str">
        <f ca="1">Charts!$B$35&amp;Charts!$B$36&amp;Charts!$B$37&amp;Charts!$B$38&amp;Charts!$B$39&amp;Charts!$B$40&amp;Charts!$B$41</f>
        <v>In the year 2026,  which falls short of your spending goal of $36,733.Your savings will have run out, which falls short of your legacy goal of $1,000,000. There is a 100% chance that you or your spouse live to age(s) 60/60.</v>
      </c>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295"/>
      <c r="AL37" s="245"/>
    </row>
    <row r="38" spans="1:38" ht="15" customHeight="1" x14ac:dyDescent="0.2">
      <c r="B38" s="288">
        <v>2026</v>
      </c>
      <c r="C38" s="289"/>
      <c r="D38" s="177"/>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295"/>
      <c r="AL38" s="245"/>
    </row>
    <row r="39" spans="1:38" ht="15" customHeight="1" x14ac:dyDescent="0.2">
      <c r="B39" s="107"/>
      <c r="C39" s="247"/>
      <c r="D39" s="247"/>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c r="AL39" s="245"/>
    </row>
    <row r="40" spans="1:38" ht="15" customHeight="1" x14ac:dyDescent="0.2">
      <c r="A40" s="59"/>
      <c r="B40" s="170"/>
      <c r="C40" s="171"/>
      <c r="D40" s="171"/>
      <c r="E40" s="172"/>
      <c r="F40" s="172"/>
      <c r="G40" s="173"/>
      <c r="H40" s="174"/>
      <c r="I40" s="174"/>
      <c r="J40" s="174"/>
      <c r="K40" s="174"/>
      <c r="L40" s="174"/>
      <c r="M40" s="174"/>
      <c r="N40" s="174"/>
      <c r="O40" s="174"/>
      <c r="P40" s="174"/>
      <c r="Q40" s="174"/>
      <c r="R40" s="174"/>
      <c r="S40" s="174"/>
      <c r="T40" s="174"/>
      <c r="U40" s="174"/>
      <c r="V40" s="174"/>
      <c r="W40" s="174"/>
      <c r="X40" s="174"/>
      <c r="Y40" s="174"/>
      <c r="Z40" s="174"/>
      <c r="AA40" s="174"/>
      <c r="AB40" s="174"/>
      <c r="AC40" s="174"/>
      <c r="AD40" s="174"/>
      <c r="AE40" s="174"/>
      <c r="AF40" s="174"/>
      <c r="AG40" s="174"/>
      <c r="AH40" s="174"/>
      <c r="AI40" s="174"/>
      <c r="AJ40" s="174"/>
      <c r="AK40" s="174"/>
      <c r="AL40" s="174"/>
    </row>
    <row r="41" spans="1:38" ht="24" customHeight="1" x14ac:dyDescent="0.2">
      <c r="A41" s="59"/>
      <c r="B41" s="250" t="b">
        <v>0</v>
      </c>
      <c r="C41" s="175" t="s">
        <v>298</v>
      </c>
      <c r="D41" s="175"/>
      <c r="E41" s="175"/>
      <c r="F41" s="175"/>
      <c r="G41" s="175"/>
      <c r="H41" s="175"/>
      <c r="I41" s="175"/>
      <c r="J41" s="292">
        <v>0</v>
      </c>
      <c r="K41" s="293"/>
      <c r="L41" s="293"/>
      <c r="M41" s="175" t="s">
        <v>299</v>
      </c>
      <c r="N41" s="175"/>
      <c r="O41" s="175"/>
      <c r="P41" s="175"/>
      <c r="Q41" s="175"/>
      <c r="R41" s="175"/>
      <c r="S41" s="175"/>
      <c r="T41" s="175"/>
      <c r="U41" s="175"/>
      <c r="V41" s="175"/>
      <c r="W41" s="175"/>
      <c r="X41" s="175"/>
      <c r="Y41" s="175"/>
      <c r="Z41" s="59"/>
      <c r="AA41" s="59"/>
      <c r="AB41" s="59"/>
      <c r="AC41" s="59"/>
      <c r="AD41" s="59"/>
      <c r="AE41" s="59"/>
      <c r="AF41" s="59"/>
      <c r="AG41" s="59"/>
      <c r="AH41" s="59"/>
      <c r="AI41" s="59"/>
      <c r="AJ41" s="59"/>
      <c r="AK41" s="59"/>
      <c r="AL41" s="59"/>
    </row>
    <row r="42" spans="1:38" ht="24" customHeight="1" x14ac:dyDescent="0.2">
      <c r="A42" s="59"/>
      <c r="B42" s="250" t="b">
        <v>0</v>
      </c>
      <c r="C42" s="175" t="s">
        <v>332</v>
      </c>
      <c r="D42" s="175"/>
      <c r="E42" s="175"/>
      <c r="F42" s="175"/>
      <c r="G42" s="175"/>
      <c r="H42" s="175"/>
      <c r="I42" s="175"/>
      <c r="J42" s="292">
        <v>0</v>
      </c>
      <c r="K42" s="293"/>
      <c r="L42" s="293"/>
      <c r="M42" s="175" t="s">
        <v>321</v>
      </c>
      <c r="N42" s="175"/>
      <c r="O42" s="249">
        <v>70</v>
      </c>
      <c r="P42" s="175" t="s">
        <v>303</v>
      </c>
      <c r="Q42" s="175"/>
      <c r="R42" s="175"/>
      <c r="S42" s="175"/>
      <c r="T42" s="175"/>
      <c r="U42" s="175"/>
      <c r="V42" s="175"/>
      <c r="W42" s="175"/>
      <c r="X42" s="175"/>
      <c r="Y42" s="175"/>
      <c r="Z42" s="59"/>
      <c r="AA42" s="59"/>
      <c r="AB42" s="59"/>
      <c r="AC42" s="59"/>
      <c r="AD42" s="59"/>
      <c r="AE42" s="59"/>
      <c r="AF42" s="59"/>
      <c r="AG42" s="59"/>
      <c r="AH42" s="59"/>
      <c r="AI42" s="59"/>
      <c r="AJ42" s="59"/>
      <c r="AK42" s="59"/>
      <c r="AL42" s="59"/>
    </row>
    <row r="43" spans="1:38" ht="24" customHeight="1" x14ac:dyDescent="0.2">
      <c r="A43" s="59"/>
      <c r="B43" s="250" t="b">
        <v>0</v>
      </c>
      <c r="C43" s="175" t="s">
        <v>320</v>
      </c>
      <c r="D43" s="175"/>
      <c r="E43" s="175"/>
      <c r="F43" s="175"/>
      <c r="G43" s="175"/>
      <c r="H43" s="175"/>
      <c r="I43" s="175"/>
      <c r="J43" s="292">
        <v>0</v>
      </c>
      <c r="K43" s="293"/>
      <c r="L43" s="293"/>
      <c r="M43" s="175" t="s">
        <v>303</v>
      </c>
      <c r="N43" s="175"/>
      <c r="O43" s="176"/>
      <c r="P43" s="175"/>
      <c r="Q43" s="175"/>
      <c r="R43" s="175"/>
      <c r="S43" s="175"/>
      <c r="T43" s="175"/>
      <c r="U43" s="175"/>
      <c r="V43" s="175"/>
      <c r="W43" s="175"/>
      <c r="X43" s="175"/>
      <c r="Y43" s="175"/>
      <c r="Z43" s="59"/>
      <c r="AA43" s="59"/>
      <c r="AB43" s="59"/>
      <c r="AC43" s="59"/>
      <c r="AD43" s="59"/>
      <c r="AE43" s="59"/>
      <c r="AF43" s="59"/>
      <c r="AG43" s="59"/>
      <c r="AH43" s="59"/>
      <c r="AI43" s="59"/>
      <c r="AJ43" s="59"/>
      <c r="AK43" s="59"/>
      <c r="AL43" s="59"/>
    </row>
    <row r="44" spans="1:38" ht="24" customHeight="1" x14ac:dyDescent="0.2">
      <c r="A44" s="59"/>
      <c r="B44" s="250" t="b">
        <v>0</v>
      </c>
      <c r="C44" s="175" t="s">
        <v>300</v>
      </c>
      <c r="D44" s="175"/>
      <c r="E44" s="175"/>
      <c r="F44" s="175"/>
      <c r="G44" s="175"/>
      <c r="H44" s="175"/>
      <c r="I44" s="175"/>
      <c r="J44" s="175"/>
      <c r="K44" s="175"/>
      <c r="L44" s="249">
        <v>70</v>
      </c>
      <c r="M44" s="175" t="s">
        <v>303</v>
      </c>
      <c r="N44" s="175"/>
      <c r="O44" s="175"/>
      <c r="P44" s="175"/>
      <c r="Q44" s="175"/>
      <c r="R44" s="175"/>
      <c r="S44" s="175"/>
      <c r="T44" s="175"/>
      <c r="U44" s="175"/>
      <c r="V44" s="175"/>
      <c r="W44" s="175"/>
      <c r="X44" s="175"/>
      <c r="Y44" s="175"/>
      <c r="Z44" s="59"/>
      <c r="AA44" s="233"/>
      <c r="AB44" s="59"/>
      <c r="AC44" s="59"/>
      <c r="AD44" s="59"/>
      <c r="AE44" s="59"/>
      <c r="AF44" s="59"/>
      <c r="AG44" s="59"/>
      <c r="AH44" s="59"/>
      <c r="AI44" s="59"/>
      <c r="AJ44" s="59"/>
      <c r="AK44" s="59"/>
      <c r="AL44" s="59"/>
    </row>
    <row r="45" spans="1:38" ht="24" customHeight="1" x14ac:dyDescent="0.2">
      <c r="A45" s="59"/>
      <c r="B45" s="250" t="b">
        <v>0</v>
      </c>
      <c r="C45" s="175" t="s">
        <v>322</v>
      </c>
      <c r="D45" s="175"/>
      <c r="E45" s="175"/>
      <c r="F45" s="175"/>
      <c r="G45" s="175"/>
      <c r="H45" s="175"/>
      <c r="I45" s="175"/>
      <c r="J45" s="292">
        <v>0</v>
      </c>
      <c r="K45" s="293"/>
      <c r="L45" s="293"/>
      <c r="M45" s="175" t="s">
        <v>324</v>
      </c>
      <c r="N45" s="175"/>
      <c r="O45" s="249">
        <v>60</v>
      </c>
      <c r="P45" s="175" t="s">
        <v>301</v>
      </c>
      <c r="Q45" s="175"/>
      <c r="R45" s="175"/>
      <c r="S45" s="175"/>
      <c r="T45" s="175"/>
      <c r="U45" s="292">
        <v>0</v>
      </c>
      <c r="V45" s="293"/>
      <c r="W45" s="293"/>
      <c r="X45" s="175" t="s">
        <v>303</v>
      </c>
      <c r="Y45" s="175"/>
      <c r="Z45" s="59"/>
      <c r="AA45" s="59"/>
      <c r="AB45" s="59"/>
      <c r="AC45" s="59"/>
      <c r="AD45" s="59"/>
      <c r="AE45" s="59"/>
      <c r="AF45" s="59"/>
      <c r="AG45" s="59"/>
      <c r="AH45" s="59"/>
      <c r="AI45" s="59"/>
      <c r="AJ45" s="59"/>
      <c r="AK45" s="59"/>
      <c r="AL45" s="59"/>
    </row>
    <row r="46" spans="1:38" ht="24" customHeight="1" x14ac:dyDescent="0.2">
      <c r="A46" s="59"/>
      <c r="B46" s="250" t="b">
        <v>0</v>
      </c>
      <c r="C46" s="175" t="s">
        <v>325</v>
      </c>
      <c r="D46" s="175"/>
      <c r="E46" s="175"/>
      <c r="F46" s="175"/>
      <c r="G46" s="175"/>
      <c r="H46" s="175"/>
      <c r="I46" s="175"/>
      <c r="J46" s="290">
        <v>0</v>
      </c>
      <c r="K46" s="291"/>
      <c r="L46" s="291"/>
      <c r="M46" s="248" t="s">
        <v>323</v>
      </c>
      <c r="N46" s="248"/>
      <c r="O46" s="249">
        <v>1</v>
      </c>
      <c r="P46" s="175" t="s">
        <v>302</v>
      </c>
      <c r="Q46" s="175"/>
      <c r="R46" s="175"/>
      <c r="S46" s="175"/>
      <c r="T46" s="175"/>
      <c r="U46" s="175"/>
      <c r="V46" s="175"/>
      <c r="W46" s="175"/>
      <c r="X46" s="175"/>
      <c r="Y46" s="175"/>
      <c r="Z46" s="261" t="str">
        <f>IF(B46,"Paying an additional "&amp;TEXT(Charts!E46,"$#,###")&amp;" in taxes now could save about "&amp;TEXT(Charts!F46,"$#,###")&amp;" in taxes later","")</f>
        <v/>
      </c>
      <c r="AA46" s="260"/>
      <c r="AB46" s="59"/>
      <c r="AC46" s="59"/>
      <c r="AD46" s="59"/>
      <c r="AE46" s="59"/>
      <c r="AF46" s="59"/>
      <c r="AG46" s="59"/>
      <c r="AH46" s="59"/>
      <c r="AI46" s="59"/>
      <c r="AJ46" s="59"/>
      <c r="AK46" s="59"/>
      <c r="AL46" s="59"/>
    </row>
    <row r="47" spans="1:38" ht="24" customHeight="1" x14ac:dyDescent="0.2">
      <c r="A47" s="59"/>
      <c r="B47" s="227" t="b">
        <v>0</v>
      </c>
      <c r="C47" s="175" t="s">
        <v>363</v>
      </c>
      <c r="D47" s="175"/>
      <c r="E47" s="175"/>
      <c r="F47" s="175"/>
      <c r="G47" s="175"/>
      <c r="H47" s="175"/>
      <c r="I47" s="175"/>
      <c r="J47" s="284" t="s">
        <v>366</v>
      </c>
      <c r="K47" s="284"/>
      <c r="L47" s="284"/>
      <c r="M47" s="284"/>
      <c r="N47" s="284"/>
      <c r="O47" s="285"/>
      <c r="P47" s="175" t="s">
        <v>362</v>
      </c>
      <c r="Q47" s="175"/>
      <c r="R47" s="175"/>
      <c r="S47" s="175"/>
      <c r="T47" s="175"/>
      <c r="U47" s="175"/>
      <c r="V47" s="175"/>
      <c r="W47" s="175"/>
      <c r="X47" s="175"/>
      <c r="Y47" s="175"/>
      <c r="Z47" s="286" t="str">
        <f>IF(MATCH($J$47,Tables!$L$10:$L$13,0)=4,"Your plan withstands about "&amp;TEXT(Charts!F48,"#0%")&amp;" of historical investment return scenarios","")</f>
        <v/>
      </c>
      <c r="AA47" s="287"/>
      <c r="AB47" s="287"/>
      <c r="AC47" s="287"/>
      <c r="AD47" s="287"/>
      <c r="AE47" s="287"/>
      <c r="AF47" s="287"/>
      <c r="AG47" s="287"/>
      <c r="AH47" s="287"/>
      <c r="AI47" s="287"/>
      <c r="AJ47" s="287"/>
      <c r="AK47" s="287"/>
      <c r="AL47" s="59"/>
    </row>
    <row r="48" spans="1:38" ht="15" customHeight="1" x14ac:dyDescent="0.2">
      <c r="A48" s="59"/>
      <c r="B48" s="59"/>
      <c r="C48" s="59"/>
      <c r="D48" s="59"/>
      <c r="E48" s="59"/>
      <c r="F48" s="59"/>
      <c r="G48" s="59"/>
      <c r="H48" s="59"/>
      <c r="I48" s="59"/>
      <c r="J48" s="59"/>
      <c r="K48" s="59"/>
      <c r="L48" s="59"/>
      <c r="M48" s="59"/>
      <c r="N48" s="59"/>
      <c r="O48" s="175"/>
      <c r="P48" s="175"/>
      <c r="Q48" s="175"/>
      <c r="R48" s="175"/>
      <c r="S48" s="175"/>
      <c r="T48" s="59"/>
      <c r="U48" s="59"/>
      <c r="V48" s="59"/>
      <c r="W48" s="59"/>
      <c r="X48" s="59"/>
      <c r="Y48" s="59"/>
      <c r="Z48" s="59"/>
      <c r="AA48" s="59"/>
      <c r="AB48" s="59"/>
      <c r="AC48" s="59"/>
      <c r="AD48" s="59"/>
      <c r="AE48" s="59"/>
      <c r="AF48" s="59"/>
      <c r="AG48" s="59"/>
      <c r="AH48" s="59"/>
      <c r="AI48" s="59"/>
      <c r="AJ48" s="59"/>
      <c r="AK48" s="59"/>
      <c r="AL48" s="59"/>
    </row>
    <row r="50" spans="2:2" x14ac:dyDescent="0.2">
      <c r="B50" s="169"/>
    </row>
  </sheetData>
  <sheetProtection algorithmName="SHA-512" hashValue="puMoE6PRUH21eAdOZSEYvdOiJRkfgaD1o0ePh1mh/fglrHngg9NBjS2CfjGEiVF/bJxuYT3p4OddzFLQMw2djA==" saltValue="U8zViKJ724bng2U9c7AGqA==" spinCount="100000" sheet="1" objects="1" scenarios="1"/>
  <mergeCells count="10">
    <mergeCell ref="J47:O47"/>
    <mergeCell ref="Z47:AK47"/>
    <mergeCell ref="B38:C38"/>
    <mergeCell ref="J46:L46"/>
    <mergeCell ref="U45:W45"/>
    <mergeCell ref="E37:AK39"/>
    <mergeCell ref="J41:L41"/>
    <mergeCell ref="J42:L42"/>
    <mergeCell ref="J43:L43"/>
    <mergeCell ref="J45:L45"/>
  </mergeCells>
  <conditionalFormatting sqref="Z46:AK46">
    <cfRule type="expression" dxfId="52" priority="1">
      <formula>$Z$46&lt;&gt;""</formula>
    </cfRule>
  </conditionalFormatting>
  <dataValidations count="1">
    <dataValidation type="whole" allowBlank="1" showErrorMessage="1" error="Start age must be between 62 and 70" sqref="L44" xr:uid="{F624AEE5-3873-4544-9803-5C91CEE92A3B}">
      <formula1>62</formula1>
      <formula2>70</formula2>
    </dataValidation>
  </dataValidations>
  <pageMargins left="0.7" right="0.7" top="0.75" bottom="0.75" header="0.3" footer="0.3"/>
  <pageSetup orientation="portrait" horizont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locked="0" defaultSize="0" autoFill="0" autoLine="0" autoPict="0">
                <anchor moveWithCells="1">
                  <from>
                    <xdr:col>1</xdr:col>
                    <xdr:colOff>0</xdr:colOff>
                    <xdr:row>40</xdr:row>
                    <xdr:rowOff>0</xdr:rowOff>
                  </from>
                  <to>
                    <xdr:col>2</xdr:col>
                    <xdr:colOff>0</xdr:colOff>
                    <xdr:row>41</xdr:row>
                    <xdr:rowOff>0</xdr:rowOff>
                  </to>
                </anchor>
              </controlPr>
            </control>
          </mc:Choice>
        </mc:AlternateContent>
        <mc:AlternateContent xmlns:mc="http://schemas.openxmlformats.org/markup-compatibility/2006">
          <mc:Choice Requires="x14">
            <control shapeId="1026" r:id="rId5" name="Check Box 2">
              <controlPr locked="0" defaultSize="0" autoFill="0" autoLine="0" autoPict="0">
                <anchor moveWithCells="1">
                  <from>
                    <xdr:col>1</xdr:col>
                    <xdr:colOff>0</xdr:colOff>
                    <xdr:row>41</xdr:row>
                    <xdr:rowOff>0</xdr:rowOff>
                  </from>
                  <to>
                    <xdr:col>2</xdr:col>
                    <xdr:colOff>0</xdr:colOff>
                    <xdr:row>42</xdr:row>
                    <xdr:rowOff>0</xdr:rowOff>
                  </to>
                </anchor>
              </controlPr>
            </control>
          </mc:Choice>
        </mc:AlternateContent>
        <mc:AlternateContent xmlns:mc="http://schemas.openxmlformats.org/markup-compatibility/2006">
          <mc:Choice Requires="x14">
            <control shapeId="1027" r:id="rId6" name="Check Box 3">
              <controlPr locked="0" defaultSize="0" autoFill="0" autoLine="0" autoPict="0">
                <anchor moveWithCells="1">
                  <from>
                    <xdr:col>1</xdr:col>
                    <xdr:colOff>0</xdr:colOff>
                    <xdr:row>42</xdr:row>
                    <xdr:rowOff>0</xdr:rowOff>
                  </from>
                  <to>
                    <xdr:col>2</xdr:col>
                    <xdr:colOff>0</xdr:colOff>
                    <xdr:row>43</xdr:row>
                    <xdr:rowOff>0</xdr:rowOff>
                  </to>
                </anchor>
              </controlPr>
            </control>
          </mc:Choice>
        </mc:AlternateContent>
        <mc:AlternateContent xmlns:mc="http://schemas.openxmlformats.org/markup-compatibility/2006">
          <mc:Choice Requires="x14">
            <control shapeId="1028" r:id="rId7" name="Check Box 4">
              <controlPr locked="0" defaultSize="0" autoFill="0" autoLine="0" autoPict="0">
                <anchor moveWithCells="1">
                  <from>
                    <xdr:col>1</xdr:col>
                    <xdr:colOff>0</xdr:colOff>
                    <xdr:row>43</xdr:row>
                    <xdr:rowOff>0</xdr:rowOff>
                  </from>
                  <to>
                    <xdr:col>2</xdr:col>
                    <xdr:colOff>0</xdr:colOff>
                    <xdr:row>44</xdr:row>
                    <xdr:rowOff>0</xdr:rowOff>
                  </to>
                </anchor>
              </controlPr>
            </control>
          </mc:Choice>
        </mc:AlternateContent>
        <mc:AlternateContent xmlns:mc="http://schemas.openxmlformats.org/markup-compatibility/2006">
          <mc:Choice Requires="x14">
            <control shapeId="1029" r:id="rId8" name="Check Box 5">
              <controlPr locked="0" defaultSize="0" autoFill="0" autoLine="0" autoPict="0">
                <anchor moveWithCells="1">
                  <from>
                    <xdr:col>1</xdr:col>
                    <xdr:colOff>0</xdr:colOff>
                    <xdr:row>44</xdr:row>
                    <xdr:rowOff>0</xdr:rowOff>
                  </from>
                  <to>
                    <xdr:col>2</xdr:col>
                    <xdr:colOff>0</xdr:colOff>
                    <xdr:row>45</xdr:row>
                    <xdr:rowOff>0</xdr:rowOff>
                  </to>
                </anchor>
              </controlPr>
            </control>
          </mc:Choice>
        </mc:AlternateContent>
        <mc:AlternateContent xmlns:mc="http://schemas.openxmlformats.org/markup-compatibility/2006">
          <mc:Choice Requires="x14">
            <control shapeId="1030" r:id="rId9" name="Check Box 6">
              <controlPr locked="0" defaultSize="0" autoFill="0" autoLine="0" autoPict="0" altText="enable what-if?">
                <anchor moveWithCells="1">
                  <from>
                    <xdr:col>1</xdr:col>
                    <xdr:colOff>0</xdr:colOff>
                    <xdr:row>45</xdr:row>
                    <xdr:rowOff>0</xdr:rowOff>
                  </from>
                  <to>
                    <xdr:col>2</xdr:col>
                    <xdr:colOff>0</xdr:colOff>
                    <xdr:row>46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8CEB171-F7F7-4139-8B8F-62F1F6C277A5}">
          <x14:formula1>
            <xm:f>Charts!$B$4:$AJ$4</xm:f>
          </x14:formula1>
          <xm:sqref>B38:C38</xm:sqref>
        </x14:dataValidation>
        <x14:dataValidation type="list" allowBlank="1" showInputMessage="1" showErrorMessage="1" xr:uid="{A6118BCB-591F-414F-8E90-5858FA49441B}">
          <x14:formula1>
            <xm:f>Tables!$L$10:$L$13</xm:f>
          </x14:formula1>
          <xm:sqref>J47:N47</xm:sqref>
        </x14:dataValidation>
        <x14:dataValidation type="whole" allowBlank="1" showErrorMessage="1" error="Your expense reduction can't exceed current spending." xr:uid="{9CE972BF-9C0F-407A-8F87-023CB098A4CD}">
          <x14:formula1>
            <xm:f>0</xm:f>
          </x14:formula1>
          <x14:formula2>
            <xm:f>'Total Expenses'!B3</xm:f>
          </x14:formula2>
          <xm:sqref>J43:L43</xm:sqref>
        </x14:dataValidation>
        <x14:dataValidation type="whole" allowBlank="1" showErrorMessage="1" error="Roth conversion must be less than your tax-deferred savings" xr:uid="{83AB0576-945F-4118-B5A5-30FF6F5531B2}">
          <x14:formula1>
            <xm:f>0</xm:f>
          </x14:formula1>
          <x14:formula2>
            <xm:f>'Total Savings'!G6</xm:f>
          </x14:formula2>
          <xm:sqref>J46:L46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E0607-8496-47A3-B73B-20C8F13A7292}">
  <sheetPr codeName="Sheet3"/>
  <dimension ref="A1:H39"/>
  <sheetViews>
    <sheetView showGridLines="0" workbookViewId="0">
      <selection activeCell="C5" sqref="C5"/>
    </sheetView>
  </sheetViews>
  <sheetFormatPr defaultRowHeight="12.75" x14ac:dyDescent="0.2"/>
  <cols>
    <col min="1" max="1" width="36.7109375" customWidth="1"/>
    <col min="2" max="3" width="20.7109375" customWidth="1"/>
    <col min="4" max="4" width="32.7109375" customWidth="1"/>
    <col min="5" max="5" width="2.7109375" customWidth="1"/>
    <col min="6" max="6" width="36.7109375" customWidth="1"/>
    <col min="7" max="7" width="16.7109375" customWidth="1"/>
    <col min="8" max="8" width="2.7109375" customWidth="1"/>
  </cols>
  <sheetData>
    <row r="1" spans="1:8" ht="36" customHeight="1" x14ac:dyDescent="0.2">
      <c r="A1" s="9" t="s">
        <v>24</v>
      </c>
      <c r="B1" s="8">
        <f>SUM(B4:C20)</f>
        <v>0</v>
      </c>
      <c r="C1" s="296" t="str">
        <f>"← retirement income chart"</f>
        <v>← retirement income chart</v>
      </c>
      <c r="D1" s="297"/>
      <c r="E1" s="77"/>
      <c r="F1" s="67"/>
      <c r="G1" s="67"/>
      <c r="H1" s="67"/>
    </row>
    <row r="2" spans="1:8" ht="36" customHeight="1" x14ac:dyDescent="0.2">
      <c r="A2" s="10"/>
      <c r="B2" s="11"/>
      <c r="C2" s="11"/>
      <c r="D2" s="76"/>
      <c r="E2" s="77"/>
      <c r="F2" s="67"/>
      <c r="G2" s="67"/>
      <c r="H2" s="67"/>
    </row>
    <row r="3" spans="1:8" ht="24" customHeight="1" x14ac:dyDescent="0.2">
      <c r="A3" s="53" t="s">
        <v>119</v>
      </c>
      <c r="B3" s="19" t="str">
        <f>Assumptions!$A$4</f>
        <v>Jason</v>
      </c>
      <c r="C3" s="19" t="str">
        <f>Assumptions!$A$5</f>
        <v>Charlene</v>
      </c>
      <c r="E3" s="67"/>
      <c r="F3" s="73" t="s">
        <v>24</v>
      </c>
      <c r="G3" s="80">
        <f>SUM(G4:G9)</f>
        <v>0</v>
      </c>
      <c r="H3" s="67"/>
    </row>
    <row r="4" spans="1:8" ht="24" customHeight="1" x14ac:dyDescent="0.2">
      <c r="A4" s="184" t="s">
        <v>61</v>
      </c>
      <c r="B4" s="178">
        <v>0</v>
      </c>
      <c r="C4" s="179">
        <v>0</v>
      </c>
      <c r="D4" s="156" t="s">
        <v>61</v>
      </c>
      <c r="E4" s="68"/>
      <c r="F4" s="65" t="s">
        <v>63</v>
      </c>
      <c r="G4" s="81">
        <f>SUMIF($D$4:$D$20,"HSA",$B$4:$B$20)+SUMIF($D$4:$D$20,"HSA",$C$4:$C$20)</f>
        <v>0</v>
      </c>
      <c r="H4" s="67"/>
    </row>
    <row r="5" spans="1:8" ht="24" customHeight="1" x14ac:dyDescent="0.2">
      <c r="A5" s="184" t="s">
        <v>117</v>
      </c>
      <c r="B5" s="178">
        <v>0</v>
      </c>
      <c r="C5" s="180">
        <v>0</v>
      </c>
      <c r="D5" s="156" t="s">
        <v>60</v>
      </c>
      <c r="E5" s="68"/>
      <c r="F5" s="62" t="s">
        <v>67</v>
      </c>
      <c r="G5" s="66">
        <f>SUMIF($D$4:$D$20,"Tax-free",$B$4:$B$20)+SUMIF($D$4:$D$20,"Tax-free",$C$4:$C$20)</f>
        <v>0</v>
      </c>
      <c r="H5" s="67"/>
    </row>
    <row r="6" spans="1:8" ht="24" customHeight="1" x14ac:dyDescent="0.2">
      <c r="A6" s="184" t="s">
        <v>342</v>
      </c>
      <c r="B6" s="178">
        <v>0</v>
      </c>
      <c r="C6" s="180">
        <v>0</v>
      </c>
      <c r="D6" s="156" t="s">
        <v>62</v>
      </c>
      <c r="E6" s="68"/>
      <c r="F6" s="62" t="s">
        <v>64</v>
      </c>
      <c r="G6" s="66">
        <f>SUMIF($D$4:$D$20,"Tax-deferred",$B$4:$B$20)+SUMIF($D$4:$D$20,"Tax-deferred",$C$4:$C$20)</f>
        <v>0</v>
      </c>
      <c r="H6" s="67"/>
    </row>
    <row r="7" spans="1:8" ht="24" customHeight="1" x14ac:dyDescent="0.2">
      <c r="A7" s="184" t="s">
        <v>120</v>
      </c>
      <c r="B7" s="178">
        <v>0</v>
      </c>
      <c r="C7" s="180">
        <v>0</v>
      </c>
      <c r="D7" s="156" t="s">
        <v>60</v>
      </c>
      <c r="E7" s="68"/>
      <c r="F7" s="62" t="s">
        <v>65</v>
      </c>
      <c r="G7" s="66">
        <f>SUM(SUMIF($D$4:$D$20,"Taxable",$B$4:$B$20),SUMIF($D$4:$D$20,"Brokerage",$B$4:$B$20),SUMIF($D$4:$D$20,"Mutual Fund(s)",$B$4:$B$20),SUMIF($D$4:$D$20,"Savings or checking account(s)",$B$4:$B$20),SUMIF($D$4:$D$20,"CDs",$B$4:$B$20),SUMIF($D$4:$D$20,"Other",$B$4:$B$20),SUMIF($D$4:$D$20,"Taxable",$C$4:$C$20),SUMIF($D$4:$D$20,"Brokerage",$C$4:$C$20),SUMIF($D$4:$D$20,"Mutual Fund(s)",$C$4:$C$20),SUMIF($D$4:$D$20,"Savings or checking accounts(s)",$C$4:$C$20),SUMIF($D$4:$D$20,"CDs",$C$4:$C$20),SUMIF($D$4:$D$20,"Other",$C$4:$C$20))</f>
        <v>0</v>
      </c>
      <c r="H7" s="67"/>
    </row>
    <row r="8" spans="1:8" ht="24" customHeight="1" x14ac:dyDescent="0.2">
      <c r="A8" s="185" t="s">
        <v>121</v>
      </c>
      <c r="B8" s="181">
        <v>0</v>
      </c>
      <c r="C8" s="180">
        <v>0</v>
      </c>
      <c r="D8" s="156" t="s">
        <v>68</v>
      </c>
      <c r="E8" s="68"/>
      <c r="F8" s="62" t="s">
        <v>66</v>
      </c>
      <c r="G8" s="66">
        <f>SUMIF($D$4:$D$20,"Basis",$B$4:$B$20)+SUMIF($D$4:$D$20,"Basis",$C$4:$C$20)</f>
        <v>0</v>
      </c>
      <c r="H8" s="67"/>
    </row>
    <row r="9" spans="1:8" ht="24" customHeight="1" x14ac:dyDescent="0.2">
      <c r="A9" s="184" t="s">
        <v>118</v>
      </c>
      <c r="B9" s="178">
        <v>0</v>
      </c>
      <c r="C9" s="180"/>
      <c r="D9" s="156" t="s">
        <v>59</v>
      </c>
      <c r="E9" s="68"/>
      <c r="F9" s="78"/>
      <c r="G9" s="79"/>
      <c r="H9" s="67"/>
    </row>
    <row r="10" spans="1:8" ht="24" customHeight="1" x14ac:dyDescent="0.2">
      <c r="A10" s="184" t="s">
        <v>114</v>
      </c>
      <c r="B10" s="178">
        <v>0</v>
      </c>
      <c r="C10" s="180"/>
      <c r="D10" s="156" t="s">
        <v>114</v>
      </c>
      <c r="E10" s="68"/>
      <c r="F10" s="67"/>
      <c r="G10" s="67"/>
      <c r="H10" s="67"/>
    </row>
    <row r="11" spans="1:8" ht="24" customHeight="1" x14ac:dyDescent="0.2">
      <c r="A11" s="184" t="s">
        <v>177</v>
      </c>
      <c r="B11" s="178">
        <v>0</v>
      </c>
      <c r="C11" s="180"/>
      <c r="D11" s="156" t="s">
        <v>177</v>
      </c>
      <c r="E11" s="68"/>
      <c r="F11" s="67"/>
      <c r="G11" s="67"/>
      <c r="H11" s="67"/>
    </row>
    <row r="12" spans="1:8" ht="24" customHeight="1" x14ac:dyDescent="0.2">
      <c r="A12" s="184"/>
      <c r="B12" s="178"/>
      <c r="C12" s="155"/>
      <c r="D12" s="156" t="s">
        <v>176</v>
      </c>
      <c r="E12" s="68"/>
      <c r="F12" s="67"/>
      <c r="G12" s="67"/>
      <c r="H12" s="67"/>
    </row>
    <row r="13" spans="1:8" ht="24" customHeight="1" x14ac:dyDescent="0.2">
      <c r="A13" s="184"/>
      <c r="B13" s="178"/>
      <c r="C13" s="180"/>
      <c r="D13" s="156" t="s">
        <v>173</v>
      </c>
      <c r="E13" s="68"/>
      <c r="F13" s="67"/>
      <c r="G13" s="67"/>
      <c r="H13" s="67"/>
    </row>
    <row r="14" spans="1:8" ht="24" customHeight="1" x14ac:dyDescent="0.2">
      <c r="A14" s="184"/>
      <c r="B14" s="178"/>
      <c r="C14" s="155"/>
      <c r="D14" s="156"/>
      <c r="E14" s="68"/>
      <c r="F14" s="67"/>
      <c r="G14" s="67"/>
      <c r="H14" s="67"/>
    </row>
    <row r="15" spans="1:8" ht="24" customHeight="1" x14ac:dyDescent="0.2">
      <c r="A15" s="184"/>
      <c r="B15" s="178"/>
      <c r="C15" s="155"/>
      <c r="D15" s="156"/>
      <c r="E15" s="68"/>
      <c r="F15" s="67"/>
      <c r="G15" s="67"/>
      <c r="H15" s="67"/>
    </row>
    <row r="16" spans="1:8" ht="24" customHeight="1" x14ac:dyDescent="0.2">
      <c r="A16" s="184"/>
      <c r="B16" s="178"/>
      <c r="C16" s="155"/>
      <c r="D16" s="156"/>
      <c r="E16" s="68"/>
      <c r="F16" s="67"/>
      <c r="G16" s="67"/>
      <c r="H16" s="67"/>
    </row>
    <row r="17" spans="1:8" ht="24" customHeight="1" x14ac:dyDescent="0.2">
      <c r="A17" s="184"/>
      <c r="B17" s="178"/>
      <c r="C17" s="155"/>
      <c r="D17" s="156"/>
      <c r="E17" s="68"/>
      <c r="F17" s="67"/>
      <c r="G17" s="67"/>
      <c r="H17" s="67"/>
    </row>
    <row r="18" spans="1:8" ht="24" customHeight="1" x14ac:dyDescent="0.2">
      <c r="A18" s="184"/>
      <c r="B18" s="178"/>
      <c r="C18" s="155"/>
      <c r="D18" s="156"/>
      <c r="E18" s="68"/>
      <c r="F18" s="67"/>
      <c r="G18" s="67"/>
      <c r="H18" s="67"/>
    </row>
    <row r="19" spans="1:8" ht="24" customHeight="1" x14ac:dyDescent="0.2">
      <c r="A19" s="184"/>
      <c r="B19" s="178"/>
      <c r="C19" s="155"/>
      <c r="D19" s="156"/>
      <c r="E19" s="68"/>
      <c r="F19" s="67"/>
      <c r="G19" s="67"/>
      <c r="H19" s="67"/>
    </row>
    <row r="20" spans="1:8" ht="24" customHeight="1" x14ac:dyDescent="0.2">
      <c r="A20" s="184"/>
      <c r="B20" s="178"/>
      <c r="C20" s="155"/>
      <c r="D20" s="156"/>
      <c r="E20" s="68"/>
      <c r="F20" s="67"/>
      <c r="G20" s="67"/>
      <c r="H20" s="67"/>
    </row>
    <row r="21" spans="1:8" ht="24" customHeight="1" x14ac:dyDescent="0.2">
      <c r="D21" s="60"/>
      <c r="E21" s="68"/>
      <c r="F21" s="298" t="s">
        <v>351</v>
      </c>
      <c r="G21" s="299"/>
      <c r="H21" s="67"/>
    </row>
    <row r="22" spans="1:8" ht="24" customHeight="1" x14ac:dyDescent="0.2">
      <c r="A22" s="184" t="s">
        <v>26</v>
      </c>
      <c r="B22" s="178">
        <v>1000000</v>
      </c>
      <c r="C22" s="155"/>
      <c r="D22" s="156" t="s">
        <v>106</v>
      </c>
      <c r="E22" s="68"/>
      <c r="F22" s="299"/>
      <c r="G22" s="299"/>
      <c r="H22" s="67"/>
    </row>
    <row r="23" spans="1:8" ht="24" customHeight="1" x14ac:dyDescent="0.2">
      <c r="A23" s="6"/>
      <c r="B23" s="61"/>
      <c r="C23" s="61"/>
      <c r="D23" s="60"/>
      <c r="E23" s="69"/>
      <c r="F23" s="299"/>
      <c r="G23" s="299"/>
      <c r="H23" s="67"/>
    </row>
    <row r="24" spans="1:8" ht="24" customHeight="1" x14ac:dyDescent="0.2">
      <c r="A24" s="53" t="s">
        <v>165</v>
      </c>
      <c r="B24" s="19"/>
      <c r="C24" s="19"/>
      <c r="D24" s="60"/>
      <c r="E24" s="69"/>
      <c r="F24" s="67"/>
      <c r="G24" s="67"/>
      <c r="H24" s="67"/>
    </row>
    <row r="25" spans="1:8" ht="24" customHeight="1" x14ac:dyDescent="0.2">
      <c r="A25" s="184" t="s">
        <v>93</v>
      </c>
      <c r="B25" s="178"/>
      <c r="C25" s="155"/>
      <c r="D25" s="156"/>
      <c r="E25" s="69"/>
      <c r="F25" s="67"/>
      <c r="G25" s="67"/>
      <c r="H25" s="67"/>
    </row>
    <row r="26" spans="1:8" ht="24" customHeight="1" x14ac:dyDescent="0.2">
      <c r="A26" s="184" t="s">
        <v>93</v>
      </c>
      <c r="B26" s="178"/>
      <c r="C26" s="155"/>
      <c r="D26" s="156"/>
      <c r="E26" s="69"/>
      <c r="F26" s="67"/>
      <c r="G26" s="67"/>
      <c r="H26" s="67"/>
    </row>
    <row r="27" spans="1:8" ht="24" customHeight="1" x14ac:dyDescent="0.2">
      <c r="A27" s="184" t="s">
        <v>93</v>
      </c>
      <c r="B27" s="178"/>
      <c r="C27" s="155"/>
      <c r="D27" s="156"/>
      <c r="E27" s="69"/>
      <c r="F27" s="67"/>
      <c r="G27" s="67"/>
      <c r="H27" s="67"/>
    </row>
    <row r="28" spans="1:8" ht="24" customHeight="1" x14ac:dyDescent="0.2">
      <c r="A28" s="186" t="s">
        <v>93</v>
      </c>
      <c r="B28" s="182"/>
      <c r="C28" s="183"/>
      <c r="D28" s="156"/>
      <c r="E28" s="69"/>
      <c r="F28" s="67"/>
      <c r="G28" s="67"/>
      <c r="H28" s="67"/>
    </row>
    <row r="29" spans="1:8" ht="24" customHeight="1" x14ac:dyDescent="0.2">
      <c r="A29" s="6"/>
      <c r="B29" s="61"/>
    </row>
    <row r="30" spans="1:8" ht="24" customHeight="1" x14ac:dyDescent="0.2">
      <c r="A30" s="6"/>
      <c r="B30" s="61"/>
    </row>
    <row r="31" spans="1:8" ht="24" customHeight="1" x14ac:dyDescent="0.2">
      <c r="A31" s="6"/>
      <c r="B31" s="61"/>
    </row>
    <row r="32" spans="1:8" ht="24" customHeight="1" x14ac:dyDescent="0.2">
      <c r="A32" s="6"/>
      <c r="B32" s="61"/>
    </row>
    <row r="33" spans="1:2" ht="24" customHeight="1" x14ac:dyDescent="0.2">
      <c r="A33" s="6"/>
      <c r="B33" s="61"/>
    </row>
    <row r="34" spans="1:2" ht="24" customHeight="1" x14ac:dyDescent="0.2">
      <c r="A34" s="6"/>
      <c r="B34" s="61"/>
    </row>
    <row r="35" spans="1:2" ht="24" customHeight="1" x14ac:dyDescent="0.2">
      <c r="A35" s="6"/>
      <c r="B35" s="61"/>
    </row>
    <row r="36" spans="1:2" ht="24" customHeight="1" x14ac:dyDescent="0.2">
      <c r="A36" s="6"/>
      <c r="B36" s="61"/>
    </row>
    <row r="37" spans="1:2" ht="24" customHeight="1" x14ac:dyDescent="0.2">
      <c r="A37" s="6"/>
      <c r="B37" s="61"/>
    </row>
    <row r="38" spans="1:2" ht="24" customHeight="1" x14ac:dyDescent="0.2">
      <c r="A38" s="6"/>
      <c r="B38" s="61"/>
    </row>
    <row r="39" spans="1:2" ht="24" customHeight="1" x14ac:dyDescent="0.2">
      <c r="A39" s="6"/>
      <c r="B39" s="61"/>
    </row>
  </sheetData>
  <sheetProtection algorithmName="SHA-512" hashValue="YvrK3SsMb5t8bX40cspEJdbP+80oyCOAbGGxC7ZncPZrgxyfS2CYgFx47SMTH1uEI6HSbI8arNZPqYDZt3g5GQ==" saltValue="kqKcaEZWyEos41Qw+5Gj2A==" spinCount="100000" sheet="1" objects="1" scenarios="1"/>
  <mergeCells count="2">
    <mergeCell ref="C1:D1"/>
    <mergeCell ref="F21:G23"/>
  </mergeCells>
  <conditionalFormatting sqref="C1">
    <cfRule type="notContainsBlanks" dxfId="51" priority="1">
      <formula>LEN(TRIM(C1))&gt;0</formula>
    </cfRule>
  </conditionalFormatting>
  <conditionalFormatting sqref="D4:D28">
    <cfRule type="notContainsBlanks" dxfId="49" priority="2">
      <formula>LEN(TRIM(D4))&gt;0</formula>
    </cfRule>
  </conditionalFormatting>
  <hyperlinks>
    <hyperlink ref="C1" location="'retirement income vs spending'!A2" tooltip="to summary chart" display="'retirement income vs spending'!A2" xr:uid="{E8270FBC-F3E2-47D5-9A3F-53A9A174F93E}"/>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F5E1A6FB-FC12-483C-8C62-825415DC0507}">
            <xm:f>Assumptions!$B$3="S"</xm:f>
            <x14:dxf>
              <font>
                <color theme="0"/>
              </font>
            </x14:dxf>
          </x14:cfRule>
          <xm:sqref>C3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A1CDD08-2279-44B6-A639-FC46F0C8E835}">
          <x14:formula1>
            <xm:f>Tables!$L$16:$L$24</xm:f>
          </x14:formula1>
          <xm:sqref>D4:E20</xm:sqref>
        </x14:dataValidation>
        <x14:dataValidation type="list" allowBlank="1" showInputMessage="1" showErrorMessage="1" xr:uid="{4604756B-8F6F-4E96-97B3-E157CD1B7DCC}">
          <x14:formula1>
            <xm:f>Tables!$L$27:$L$29</xm:f>
          </x14:formula1>
          <xm:sqref>D22:E22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7AF22-6084-4C10-8C8E-116FDAFF04A1}">
  <sheetPr codeName="Sheet4"/>
  <dimension ref="A1:L39"/>
  <sheetViews>
    <sheetView showGridLines="0" workbookViewId="0">
      <selection activeCell="D29" sqref="D29"/>
    </sheetView>
  </sheetViews>
  <sheetFormatPr defaultRowHeight="12.75" x14ac:dyDescent="0.2"/>
  <cols>
    <col min="1" max="1" width="36.7109375" customWidth="1"/>
    <col min="2" max="4" width="16.7109375" customWidth="1"/>
    <col min="5" max="5" width="32.7109375" customWidth="1"/>
    <col min="6" max="6" width="2.7109375" customWidth="1"/>
    <col min="7" max="7" width="4.7109375" customWidth="1"/>
    <col min="8" max="8" width="6.7109375" customWidth="1"/>
    <col min="9" max="10" width="16.7109375" customWidth="1"/>
    <col min="11" max="11" width="24.7109375" customWidth="1"/>
    <col min="12" max="12" width="2.7109375" customWidth="1"/>
  </cols>
  <sheetData>
    <row r="1" spans="1:12" ht="36" customHeight="1" x14ac:dyDescent="0.2">
      <c r="A1" s="9" t="s">
        <v>112</v>
      </c>
      <c r="B1" s="8">
        <f>SUM(B4:B20)</f>
        <v>0</v>
      </c>
      <c r="C1" s="296" t="str">
        <f>"← retirement income chart"</f>
        <v>← retirement income chart</v>
      </c>
      <c r="D1" s="297"/>
      <c r="E1" s="177"/>
      <c r="F1" s="67"/>
      <c r="G1" s="67"/>
      <c r="H1" s="67"/>
      <c r="I1" s="67"/>
      <c r="J1" s="67"/>
      <c r="K1" s="67"/>
      <c r="L1" s="67"/>
    </row>
    <row r="2" spans="1:12" ht="36" customHeight="1" x14ac:dyDescent="0.2">
      <c r="A2" s="10"/>
      <c r="B2" s="11"/>
      <c r="E2" s="6"/>
      <c r="F2" s="67"/>
      <c r="G2" s="67"/>
      <c r="H2" s="67"/>
      <c r="I2" s="67"/>
      <c r="J2" s="67"/>
      <c r="K2" s="67"/>
      <c r="L2" s="67"/>
    </row>
    <row r="3" spans="1:12" ht="24" customHeight="1" x14ac:dyDescent="0.2">
      <c r="A3" s="36" t="s">
        <v>75</v>
      </c>
      <c r="B3" s="18" t="s">
        <v>41</v>
      </c>
      <c r="C3" s="19" t="str">
        <f>Assumptions!$A$4&amp;"'s age"</f>
        <v>Jason's age</v>
      </c>
      <c r="D3" s="19" t="str">
        <f>Assumptions!$A$5&amp;"'s age"</f>
        <v>Charlene's age</v>
      </c>
      <c r="F3" s="141"/>
      <c r="G3" s="300" t="s">
        <v>335</v>
      </c>
      <c r="H3" s="300"/>
      <c r="I3" s="300"/>
      <c r="J3" s="300"/>
      <c r="K3" s="300"/>
      <c r="L3" s="141"/>
    </row>
    <row r="4" spans="1:12" ht="24" customHeight="1" x14ac:dyDescent="0.2">
      <c r="A4" s="187" t="s">
        <v>343</v>
      </c>
      <c r="B4" s="188">
        <v>0</v>
      </c>
      <c r="C4" s="189">
        <v>60</v>
      </c>
      <c r="D4" s="190"/>
      <c r="E4" s="156"/>
      <c r="F4" s="141"/>
      <c r="G4" s="301" t="s">
        <v>334</v>
      </c>
      <c r="H4" s="301"/>
      <c r="I4" s="301"/>
      <c r="J4" s="301"/>
      <c r="L4" s="141"/>
    </row>
    <row r="5" spans="1:12" ht="24" customHeight="1" x14ac:dyDescent="0.2">
      <c r="A5" s="187" t="s">
        <v>344</v>
      </c>
      <c r="B5" s="191">
        <v>0</v>
      </c>
      <c r="C5" s="189">
        <v>60</v>
      </c>
      <c r="D5" s="192"/>
      <c r="E5" s="156"/>
      <c r="F5" s="141"/>
      <c r="G5" s="238"/>
      <c r="I5" s="19" t="str">
        <f>Assumptions!$A$4</f>
        <v>Jason</v>
      </c>
      <c r="J5" s="19" t="str">
        <f>Assumptions!$A$5&amp;"'s age"</f>
        <v>Charlene's age</v>
      </c>
      <c r="L5" s="141"/>
    </row>
    <row r="6" spans="1:12" ht="24" customHeight="1" x14ac:dyDescent="0.2">
      <c r="A6" s="193" t="s">
        <v>345</v>
      </c>
      <c r="B6" s="194">
        <v>0</v>
      </c>
      <c r="C6" s="189">
        <v>60</v>
      </c>
      <c r="D6" s="192"/>
      <c r="E6" s="156"/>
      <c r="F6" s="141"/>
      <c r="G6" s="144">
        <v>62</v>
      </c>
      <c r="H6" s="145">
        <v>0.7</v>
      </c>
      <c r="I6" s="240">
        <f t="shared" ref="I6:J10" si="0">I$11*$H6</f>
        <v>0</v>
      </c>
      <c r="J6" s="240">
        <f t="shared" si="0"/>
        <v>0</v>
      </c>
      <c r="K6" s="244" t="s">
        <v>276</v>
      </c>
      <c r="L6" s="141"/>
    </row>
    <row r="7" spans="1:12" ht="24" customHeight="1" x14ac:dyDescent="0.2">
      <c r="A7" s="193"/>
      <c r="B7" s="194"/>
      <c r="C7" s="189"/>
      <c r="D7" s="192"/>
      <c r="E7" s="156"/>
      <c r="F7" s="141"/>
      <c r="G7" s="139">
        <f>G6+1</f>
        <v>63</v>
      </c>
      <c r="H7" s="140">
        <v>0.75</v>
      </c>
      <c r="I7" s="241">
        <f t="shared" si="0"/>
        <v>0</v>
      </c>
      <c r="J7" s="241">
        <f t="shared" si="0"/>
        <v>0</v>
      </c>
      <c r="K7" s="84"/>
      <c r="L7" s="141"/>
    </row>
    <row r="8" spans="1:12" ht="24" customHeight="1" x14ac:dyDescent="0.2">
      <c r="A8" s="193"/>
      <c r="B8" s="194"/>
      <c r="C8" s="189"/>
      <c r="D8" s="192"/>
      <c r="E8" s="156"/>
      <c r="F8" s="141"/>
      <c r="G8" s="139">
        <f t="shared" ref="G8:G14" si="1">G7+1</f>
        <v>64</v>
      </c>
      <c r="H8" s="140">
        <v>0.8</v>
      </c>
      <c r="I8" s="241">
        <f t="shared" si="0"/>
        <v>0</v>
      </c>
      <c r="J8" s="241">
        <f t="shared" si="0"/>
        <v>0</v>
      </c>
      <c r="K8" s="84"/>
      <c r="L8" s="141"/>
    </row>
    <row r="9" spans="1:12" ht="24" customHeight="1" x14ac:dyDescent="0.2">
      <c r="A9" s="193"/>
      <c r="B9" s="194"/>
      <c r="C9" s="189"/>
      <c r="D9" s="192"/>
      <c r="E9" s="156"/>
      <c r="F9" s="141"/>
      <c r="G9" s="139">
        <f t="shared" si="1"/>
        <v>65</v>
      </c>
      <c r="H9" s="140">
        <v>0.87</v>
      </c>
      <c r="I9" s="241">
        <f t="shared" si="0"/>
        <v>0</v>
      </c>
      <c r="J9" s="241">
        <f t="shared" si="0"/>
        <v>0</v>
      </c>
      <c r="K9" s="60"/>
      <c r="L9" s="141"/>
    </row>
    <row r="10" spans="1:12" ht="24" customHeight="1" x14ac:dyDescent="0.2">
      <c r="A10" s="86"/>
      <c r="B10" s="87"/>
      <c r="C10" s="88"/>
      <c r="D10" s="88"/>
      <c r="E10" s="60"/>
      <c r="F10" s="142"/>
      <c r="G10" s="139">
        <f t="shared" si="1"/>
        <v>66</v>
      </c>
      <c r="H10" s="140">
        <f>0.93+1/3/100</f>
        <v>0.93333333333333335</v>
      </c>
      <c r="I10" s="241">
        <f t="shared" si="0"/>
        <v>0</v>
      </c>
      <c r="J10" s="241">
        <f t="shared" si="0"/>
        <v>0</v>
      </c>
      <c r="K10" s="237"/>
      <c r="L10" s="141"/>
    </row>
    <row r="11" spans="1:12" ht="24" customHeight="1" x14ac:dyDescent="0.2">
      <c r="A11" s="36" t="s">
        <v>23</v>
      </c>
      <c r="B11" s="18" t="s">
        <v>41</v>
      </c>
      <c r="C11" s="19" t="str">
        <f>C$3</f>
        <v>Jason's age</v>
      </c>
      <c r="D11" s="19" t="str">
        <f>D$3</f>
        <v>Charlene's age</v>
      </c>
      <c r="E11" s="60"/>
      <c r="F11" s="67"/>
      <c r="G11" s="139">
        <f t="shared" si="1"/>
        <v>67</v>
      </c>
      <c r="H11" s="140">
        <v>1</v>
      </c>
      <c r="I11" s="242">
        <v>0</v>
      </c>
      <c r="J11" s="242">
        <v>0</v>
      </c>
      <c r="K11" s="143" t="s">
        <v>274</v>
      </c>
      <c r="L11" s="141"/>
    </row>
    <row r="12" spans="1:12" ht="24" customHeight="1" x14ac:dyDescent="0.2">
      <c r="A12" s="193" t="s">
        <v>115</v>
      </c>
      <c r="B12" s="146">
        <f>VLOOKUP(C12,$G$6:$J$14,3)</f>
        <v>0</v>
      </c>
      <c r="C12" s="189">
        <v>67</v>
      </c>
      <c r="D12" s="192"/>
      <c r="E12" s="304" t="s">
        <v>348</v>
      </c>
      <c r="F12" s="67"/>
      <c r="G12" s="139">
        <f t="shared" si="1"/>
        <v>68</v>
      </c>
      <c r="H12" s="140">
        <v>1.08</v>
      </c>
      <c r="I12" s="241">
        <f t="shared" ref="I12:J14" si="2">I$11*$H12</f>
        <v>0</v>
      </c>
      <c r="J12" s="241">
        <f t="shared" si="2"/>
        <v>0</v>
      </c>
      <c r="K12" s="84"/>
      <c r="L12" s="141"/>
    </row>
    <row r="13" spans="1:12" ht="24" customHeight="1" x14ac:dyDescent="0.2">
      <c r="A13" s="193" t="s">
        <v>116</v>
      </c>
      <c r="B13" s="146">
        <f>IF(Assumptions!B3="M",VLOOKUP(D13,$G$6:$J$14,4),"")</f>
        <v>0</v>
      </c>
      <c r="C13" s="189"/>
      <c r="D13" s="192">
        <v>67</v>
      </c>
      <c r="E13" s="305"/>
      <c r="F13" s="67"/>
      <c r="G13" s="139">
        <f t="shared" si="1"/>
        <v>69</v>
      </c>
      <c r="H13" s="140">
        <v>1.1599999999999999</v>
      </c>
      <c r="I13" s="241">
        <f t="shared" si="2"/>
        <v>0</v>
      </c>
      <c r="J13" s="241">
        <f t="shared" si="2"/>
        <v>0</v>
      </c>
      <c r="K13" s="84"/>
      <c r="L13" s="141"/>
    </row>
    <row r="14" spans="1:12" ht="24" customHeight="1" x14ac:dyDescent="0.2">
      <c r="E14" s="60"/>
      <c r="F14" s="67"/>
      <c r="G14" s="139">
        <f t="shared" si="1"/>
        <v>70</v>
      </c>
      <c r="H14" s="140">
        <v>1.24</v>
      </c>
      <c r="I14" s="241">
        <f t="shared" si="2"/>
        <v>0</v>
      </c>
      <c r="J14" s="241">
        <f t="shared" si="2"/>
        <v>0</v>
      </c>
      <c r="K14" s="143" t="s">
        <v>275</v>
      </c>
      <c r="L14" s="141"/>
    </row>
    <row r="15" spans="1:12" ht="24" customHeight="1" x14ac:dyDescent="0.2">
      <c r="A15" s="36" t="s">
        <v>76</v>
      </c>
      <c r="B15" s="18" t="s">
        <v>41</v>
      </c>
      <c r="C15" s="19" t="str">
        <f>C$3</f>
        <v>Jason's age</v>
      </c>
      <c r="D15" s="19" t="str">
        <f>D$3</f>
        <v>Charlene's age</v>
      </c>
      <c r="E15" s="60"/>
      <c r="F15" s="67"/>
      <c r="G15" s="141"/>
      <c r="H15" s="141"/>
      <c r="I15" s="141"/>
      <c r="J15" s="141"/>
      <c r="K15" s="141"/>
      <c r="L15" s="141"/>
    </row>
    <row r="16" spans="1:12" ht="24" customHeight="1" x14ac:dyDescent="0.2">
      <c r="A16" s="193" t="s">
        <v>166</v>
      </c>
      <c r="B16" s="194">
        <v>0</v>
      </c>
      <c r="C16" s="189">
        <v>75</v>
      </c>
      <c r="D16" s="192"/>
      <c r="E16" s="156"/>
      <c r="F16" s="67"/>
      <c r="G16" s="302" t="s">
        <v>349</v>
      </c>
      <c r="H16" s="299"/>
      <c r="I16" s="299"/>
      <c r="J16" s="299"/>
      <c r="K16" s="299"/>
      <c r="L16" s="141"/>
    </row>
    <row r="17" spans="1:12" ht="24" customHeight="1" x14ac:dyDescent="0.2">
      <c r="A17" s="193" t="s">
        <v>35</v>
      </c>
      <c r="B17" s="194">
        <v>0</v>
      </c>
      <c r="C17" s="189"/>
      <c r="D17" s="192">
        <v>75</v>
      </c>
      <c r="E17" s="156"/>
      <c r="F17" s="67"/>
      <c r="G17" s="299"/>
      <c r="H17" s="299"/>
      <c r="I17" s="299"/>
      <c r="J17" s="299"/>
      <c r="K17" s="299"/>
      <c r="L17" s="141"/>
    </row>
    <row r="18" spans="1:12" ht="24" customHeight="1" x14ac:dyDescent="0.2">
      <c r="A18" s="193"/>
      <c r="B18" s="194"/>
      <c r="C18" s="189"/>
      <c r="D18" s="192"/>
      <c r="E18" s="156"/>
      <c r="F18" s="67"/>
      <c r="G18" s="141"/>
      <c r="H18" s="141"/>
      <c r="I18" s="141"/>
      <c r="J18" s="141"/>
      <c r="K18" s="141"/>
      <c r="L18" s="141"/>
    </row>
    <row r="19" spans="1:12" ht="24" customHeight="1" x14ac:dyDescent="0.2">
      <c r="A19" s="193"/>
      <c r="B19" s="194"/>
      <c r="C19" s="189"/>
      <c r="D19" s="192"/>
      <c r="E19" s="156"/>
      <c r="F19" s="67"/>
      <c r="G19" s="298" t="s">
        <v>391</v>
      </c>
      <c r="H19" s="295"/>
      <c r="I19" s="295"/>
      <c r="J19" s="303"/>
      <c r="K19" s="303"/>
      <c r="L19" s="67"/>
    </row>
    <row r="20" spans="1:12" ht="24" customHeight="1" x14ac:dyDescent="0.2">
      <c r="A20" s="84"/>
      <c r="B20" s="85"/>
      <c r="C20" s="84"/>
      <c r="D20" s="84"/>
      <c r="E20" s="60"/>
      <c r="F20" s="141"/>
      <c r="G20" s="295"/>
      <c r="H20" s="295"/>
      <c r="I20" s="295"/>
      <c r="J20" s="303"/>
      <c r="K20" s="303"/>
      <c r="L20" s="67"/>
    </row>
    <row r="21" spans="1:12" ht="24" customHeight="1" x14ac:dyDescent="0.2">
      <c r="A21" s="36" t="s">
        <v>294</v>
      </c>
      <c r="B21" s="18" t="s">
        <v>41</v>
      </c>
      <c r="C21" s="19" t="str">
        <f>C$3</f>
        <v>Jason's age</v>
      </c>
      <c r="D21" s="19" t="str">
        <f>D$3</f>
        <v>Charlene's age</v>
      </c>
      <c r="E21" s="60"/>
      <c r="F21" s="141"/>
      <c r="G21" s="295"/>
      <c r="H21" s="295"/>
      <c r="I21" s="295"/>
      <c r="J21" s="303"/>
      <c r="K21" s="303"/>
      <c r="L21" s="67"/>
    </row>
    <row r="22" spans="1:12" ht="24" customHeight="1" x14ac:dyDescent="0.2">
      <c r="A22" s="193"/>
      <c r="B22" s="194">
        <v>0</v>
      </c>
      <c r="C22" s="189"/>
      <c r="D22" s="192"/>
      <c r="E22" s="304" t="s">
        <v>292</v>
      </c>
      <c r="F22" s="141"/>
      <c r="G22" s="295"/>
      <c r="H22" s="295"/>
      <c r="I22" s="295"/>
      <c r="J22" s="303"/>
      <c r="K22" s="303"/>
      <c r="L22" s="67"/>
    </row>
    <row r="23" spans="1:12" ht="24" customHeight="1" x14ac:dyDescent="0.2">
      <c r="A23" s="193"/>
      <c r="B23" s="194"/>
      <c r="C23" s="189"/>
      <c r="D23" s="192"/>
      <c r="E23" s="305"/>
      <c r="F23" s="141"/>
      <c r="G23" s="295"/>
      <c r="H23" s="295"/>
      <c r="I23" s="295"/>
      <c r="J23" s="303"/>
      <c r="K23" s="303"/>
      <c r="L23" s="67"/>
    </row>
    <row r="24" spans="1:12" ht="24" customHeight="1" x14ac:dyDescent="0.2">
      <c r="E24" s="60"/>
      <c r="F24" s="141"/>
      <c r="G24" s="295"/>
      <c r="H24" s="295"/>
      <c r="I24" s="295"/>
      <c r="J24" s="303"/>
      <c r="K24" s="303"/>
      <c r="L24" s="67"/>
    </row>
    <row r="25" spans="1:12" ht="24" customHeight="1" x14ac:dyDescent="0.2">
      <c r="A25" s="36" t="s">
        <v>108</v>
      </c>
      <c r="B25" s="18" t="s">
        <v>390</v>
      </c>
      <c r="C25" s="19" t="s">
        <v>333</v>
      </c>
      <c r="D25" s="19"/>
      <c r="E25" s="60"/>
      <c r="F25" s="141"/>
      <c r="G25" s="295"/>
      <c r="H25" s="295"/>
      <c r="I25" s="295"/>
      <c r="J25" s="303"/>
      <c r="K25" s="303"/>
      <c r="L25" s="67"/>
    </row>
    <row r="26" spans="1:12" ht="24" customHeight="1" x14ac:dyDescent="0.2">
      <c r="A26" s="193" t="s">
        <v>387</v>
      </c>
      <c r="B26" s="267">
        <v>0.04</v>
      </c>
      <c r="C26" s="194">
        <v>0</v>
      </c>
      <c r="D26" s="211" t="s">
        <v>389</v>
      </c>
      <c r="E26" s="266" t="s">
        <v>388</v>
      </c>
      <c r="F26" s="67"/>
      <c r="G26" s="303"/>
      <c r="H26" s="303"/>
      <c r="I26" s="303"/>
      <c r="J26" s="303"/>
      <c r="K26" s="303"/>
      <c r="L26" s="67"/>
    </row>
    <row r="27" spans="1:12" ht="24" customHeight="1" x14ac:dyDescent="0.2">
      <c r="A27" s="195"/>
      <c r="B27" s="195"/>
      <c r="C27" s="195"/>
      <c r="D27" s="195"/>
      <c r="E27" s="195"/>
      <c r="F27" s="67"/>
      <c r="G27" s="303"/>
      <c r="H27" s="303"/>
      <c r="I27" s="303"/>
      <c r="J27" s="303"/>
      <c r="K27" s="303"/>
      <c r="L27" s="67"/>
    </row>
    <row r="28" spans="1:12" ht="24" customHeight="1" x14ac:dyDescent="0.2">
      <c r="A28" s="36" t="s">
        <v>113</v>
      </c>
      <c r="B28" s="18">
        <f>SUM(B29:B32)</f>
        <v>0</v>
      </c>
      <c r="C28" s="18" t="s">
        <v>21</v>
      </c>
      <c r="D28" s="6"/>
      <c r="E28" s="195"/>
      <c r="F28" s="67"/>
      <c r="G28" s="303"/>
      <c r="H28" s="303"/>
      <c r="I28" s="303"/>
      <c r="J28" s="303"/>
      <c r="K28" s="303"/>
      <c r="L28" s="67"/>
    </row>
    <row r="29" spans="1:12" ht="24" customHeight="1" x14ac:dyDescent="0.2">
      <c r="A29" s="193" t="s">
        <v>200</v>
      </c>
      <c r="B29" s="194">
        <v>0</v>
      </c>
      <c r="C29" s="190"/>
      <c r="D29" s="195"/>
      <c r="E29" s="6"/>
      <c r="F29" s="67"/>
      <c r="G29" s="303"/>
      <c r="H29" s="303"/>
      <c r="I29" s="303"/>
      <c r="J29" s="303"/>
      <c r="K29" s="303"/>
      <c r="L29" s="67"/>
    </row>
    <row r="30" spans="1:12" ht="24" customHeight="1" x14ac:dyDescent="0.2">
      <c r="A30" s="193"/>
      <c r="B30" s="194"/>
      <c r="C30" s="192"/>
      <c r="D30" s="195"/>
      <c r="E30" s="6"/>
      <c r="F30" s="67"/>
      <c r="G30" s="67"/>
      <c r="H30" s="67"/>
      <c r="I30" s="67"/>
      <c r="J30" s="67"/>
      <c r="K30" s="67"/>
      <c r="L30" s="67"/>
    </row>
    <row r="31" spans="1:12" ht="24" customHeight="1" x14ac:dyDescent="0.2">
      <c r="A31" s="193"/>
      <c r="B31" s="194"/>
      <c r="C31" s="192"/>
      <c r="D31" s="195"/>
      <c r="E31" s="6"/>
    </row>
    <row r="32" spans="1:12" ht="24" customHeight="1" x14ac:dyDescent="0.2">
      <c r="A32" s="193"/>
      <c r="B32" s="194"/>
      <c r="C32" s="192"/>
      <c r="D32" s="195"/>
      <c r="E32" s="6"/>
    </row>
    <row r="33" spans="1:5" ht="24" customHeight="1" x14ac:dyDescent="0.2"/>
    <row r="34" spans="1:5" ht="24" customHeight="1" x14ac:dyDescent="0.2">
      <c r="A34" s="6"/>
      <c r="B34" s="61"/>
      <c r="C34" s="6"/>
      <c r="D34" s="6"/>
      <c r="E34" s="6"/>
    </row>
    <row r="35" spans="1:5" ht="24" customHeight="1" x14ac:dyDescent="0.2">
      <c r="A35" s="6"/>
      <c r="B35" s="61"/>
    </row>
    <row r="36" spans="1:5" ht="24" customHeight="1" x14ac:dyDescent="0.2">
      <c r="A36" s="6"/>
      <c r="B36" s="61"/>
    </row>
    <row r="37" spans="1:5" ht="24" customHeight="1" x14ac:dyDescent="0.2">
      <c r="A37" s="6"/>
      <c r="B37" s="61"/>
    </row>
    <row r="38" spans="1:5" ht="24" customHeight="1" x14ac:dyDescent="0.2">
      <c r="A38" s="6"/>
      <c r="B38" s="61"/>
    </row>
    <row r="39" spans="1:5" ht="24" customHeight="1" x14ac:dyDescent="0.2">
      <c r="A39" s="6"/>
      <c r="B39" s="61"/>
    </row>
  </sheetData>
  <sheetProtection algorithmName="SHA-512" hashValue="T0g29u77GidWU+bvFOocuJw3QoViMVUGOC6e9OG8jw3fzm1eD8MlVD5fa53P+CSxkBIxCXZhEx6YNDxVmQKenA==" saltValue="mSWc463YPiiOfOW8isWnaA==" spinCount="100000" sheet="1" objects="1" scenarios="1"/>
  <mergeCells count="7">
    <mergeCell ref="G3:K3"/>
    <mergeCell ref="G4:J4"/>
    <mergeCell ref="G16:K17"/>
    <mergeCell ref="G19:K29"/>
    <mergeCell ref="C1:D1"/>
    <mergeCell ref="E12:E13"/>
    <mergeCell ref="E22:E23"/>
  </mergeCells>
  <conditionalFormatting sqref="B26">
    <cfRule type="expression" dxfId="48" priority="2">
      <formula>$A$26&lt;&gt;"Systematic withdrawals (%)"</formula>
    </cfRule>
  </conditionalFormatting>
  <conditionalFormatting sqref="C1">
    <cfRule type="notContainsBlanks" dxfId="47" priority="13">
      <formula>LEN(TRIM(C1))&gt;0</formula>
    </cfRule>
  </conditionalFormatting>
  <conditionalFormatting sqref="C26">
    <cfRule type="expression" dxfId="46" priority="1">
      <formula>$A$26&lt;&gt;"Systematic withdrawals ($ amount)"</formula>
    </cfRule>
  </conditionalFormatting>
  <conditionalFormatting sqref="D26:E26">
    <cfRule type="expression" dxfId="41" priority="3">
      <formula>$A$26&lt;&gt;"Systematic withdrawals ($ amount)"</formula>
    </cfRule>
  </conditionalFormatting>
  <conditionalFormatting sqref="E4:E12 E24">
    <cfRule type="notContainsBlanks" dxfId="40" priority="15">
      <formula>LEN(TRIM(E4))&gt;0</formula>
    </cfRule>
  </conditionalFormatting>
  <conditionalFormatting sqref="E14:E22">
    <cfRule type="notContainsBlanks" dxfId="39" priority="9">
      <formula>LEN(TRIM(E14))&gt;0</formula>
    </cfRule>
  </conditionalFormatting>
  <dataValidations count="1">
    <dataValidation type="list" allowBlank="1" showInputMessage="1" showErrorMessage="1" sqref="D26" xr:uid="{28630098-F044-4197-8AF3-216E306A1A90}">
      <formula1>"Y,N"</formula1>
    </dataValidation>
  </dataValidations>
  <hyperlinks>
    <hyperlink ref="C1" location="'retirement income vs spending'!A2" tooltip="to summary chart" display="'retirement income vs spending'!A2" xr:uid="{1529C8DE-559A-4B88-B674-06D55DF8D78E}"/>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6" id="{14A3235A-5BBE-4427-9AC0-78A8FDA30466}">
            <xm:f>Assumptions!$B$3="S"</xm:f>
            <x14:dxf>
              <font>
                <color theme="0"/>
              </font>
            </x14:dxf>
          </x14:cfRule>
          <xm:sqref>D3 D11 D15</xm:sqref>
        </x14:conditionalFormatting>
        <x14:conditionalFormatting xmlns:xm="http://schemas.microsoft.com/office/excel/2006/main">
          <x14:cfRule type="expression" priority="11" id="{D60EDF6D-5CD1-4538-8992-D3CFF2880215}">
            <xm:f>Assumptions!$B$3="S"</xm:f>
            <x14:dxf>
              <font>
                <color theme="2"/>
              </font>
              <fill>
                <patternFill patternType="lightUp"/>
              </fill>
            </x14:dxf>
          </x14:cfRule>
          <xm:sqref>D4:D9 D12:D13 D16:D19 D22:D23</xm:sqref>
        </x14:conditionalFormatting>
        <x14:conditionalFormatting xmlns:xm="http://schemas.microsoft.com/office/excel/2006/main">
          <x14:cfRule type="expression" priority="14" id="{0D0CEDC9-FA08-48B0-AC6C-9E3A77F3B2F8}">
            <xm:f>Assumptions!$B$3="S"</xm:f>
            <x14:dxf>
              <font>
                <color theme="0"/>
              </font>
            </x14:dxf>
          </x14:cfRule>
          <xm:sqref>D21</xm:sqref>
        </x14:conditionalFormatting>
        <x14:conditionalFormatting xmlns:xm="http://schemas.microsoft.com/office/excel/2006/main">
          <x14:cfRule type="expression" priority="8" id="{15CD609F-FD00-4B14-A61F-3B3CD6028EEC}">
            <xm:f>Assumptions!$B$3="S"</xm:f>
            <x14:dxf>
              <font>
                <color theme="0"/>
              </font>
            </x14:dxf>
          </x14:cfRule>
          <xm:sqref>D25</xm:sqref>
        </x14:conditionalFormatting>
        <x14:conditionalFormatting xmlns:xm="http://schemas.microsoft.com/office/excel/2006/main">
          <x14:cfRule type="expression" priority="12" id="{E73126FA-73E1-44E1-8033-0B33D02133DE}">
            <xm:f>Assumptions!$B$3="S"</xm:f>
            <x14:dxf>
              <font>
                <color theme="0"/>
              </font>
            </x14:dxf>
          </x14:cfRule>
          <xm:sqref>J5</xm:sqref>
        </x14:conditionalFormatting>
        <x14:conditionalFormatting xmlns:xm="http://schemas.microsoft.com/office/excel/2006/main">
          <x14:cfRule type="expression" priority="10" id="{3959EE7A-21FF-459C-A604-42E74134241F}">
            <xm:f>Assumptions!$B$3="S"</xm:f>
            <x14:dxf>
              <font>
                <color theme="0"/>
              </font>
              <fill>
                <patternFill>
                  <bgColor theme="0"/>
                </patternFill>
              </fill>
              <border>
                <top/>
                <bottom/>
                <vertical/>
                <horizontal/>
              </border>
            </x14:dxf>
          </x14:cfRule>
          <xm:sqref>J6:J14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101CE2C-C2F0-49DB-86DF-8A69FA563AD7}">
          <x14:formula1>
            <xm:f>Tables!$L$32:$L$35</xm:f>
          </x14:formula1>
          <xm:sqref>A26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04422-9AED-4E85-966F-F7266DB938B5}">
  <sheetPr codeName="Sheet5"/>
  <dimension ref="A1:M39"/>
  <sheetViews>
    <sheetView showGridLines="0" workbookViewId="0">
      <selection activeCell="C4" sqref="C4"/>
    </sheetView>
  </sheetViews>
  <sheetFormatPr defaultRowHeight="12.75" x14ac:dyDescent="0.2"/>
  <cols>
    <col min="1" max="1" width="36.7109375" customWidth="1"/>
    <col min="2" max="2" width="16.7109375" customWidth="1"/>
    <col min="3" max="3" width="36.7109375" customWidth="1"/>
    <col min="4" max="10" width="8.7109375" customWidth="1"/>
  </cols>
  <sheetData>
    <row r="1" spans="1:13" ht="36" customHeight="1" x14ac:dyDescent="0.2">
      <c r="A1" s="9" t="s">
        <v>9</v>
      </c>
      <c r="B1" s="8">
        <f>SUM(B4:B15)</f>
        <v>2491.666666666667</v>
      </c>
      <c r="C1" s="150" t="str">
        <f>"← retirement income chart"</f>
        <v>← retirement income chart</v>
      </c>
      <c r="D1" s="306" t="e" vm="1">
        <v>#VALUE!</v>
      </c>
      <c r="E1" s="307"/>
      <c r="F1" s="307"/>
      <c r="G1" s="307"/>
      <c r="H1" s="307"/>
      <c r="I1" s="307"/>
      <c r="J1" s="307"/>
      <c r="K1" s="307"/>
      <c r="L1" s="307"/>
      <c r="M1" s="307"/>
    </row>
    <row r="2" spans="1:13" ht="36" customHeight="1" x14ac:dyDescent="0.2">
      <c r="A2" s="10"/>
      <c r="B2" s="11"/>
      <c r="C2" s="6"/>
    </row>
    <row r="3" spans="1:13" ht="24" customHeight="1" x14ac:dyDescent="0.2">
      <c r="A3" s="91" t="s">
        <v>132</v>
      </c>
      <c r="B3" s="96">
        <f>SUM(B4:B11)</f>
        <v>675</v>
      </c>
    </row>
    <row r="4" spans="1:13" ht="24" customHeight="1" x14ac:dyDescent="0.2">
      <c r="A4" s="62" t="str">
        <f>'Expenses (1)'!$A$1</f>
        <v>Housing</v>
      </c>
      <c r="B4" s="81">
        <f>'Expenses (1)'!B1</f>
        <v>0</v>
      </c>
      <c r="C4" s="151" t="str">
        <f>"details →"</f>
        <v>details →</v>
      </c>
    </row>
    <row r="5" spans="1:13" ht="24" customHeight="1" x14ac:dyDescent="0.2">
      <c r="A5" s="62" t="str">
        <f>'Expenses (2)'!$A$1</f>
        <v>Transportation</v>
      </c>
      <c r="B5" s="66">
        <f>'Expenses (2)'!B1</f>
        <v>0</v>
      </c>
      <c r="C5" s="151" t="str">
        <f t="shared" ref="C5:C11" si="0">"details →"</f>
        <v>details →</v>
      </c>
    </row>
    <row r="6" spans="1:13" ht="24" customHeight="1" x14ac:dyDescent="0.2">
      <c r="A6" s="62" t="str">
        <f>'Expenses (3)'!$A$1</f>
        <v>Insurance Premiums</v>
      </c>
      <c r="B6" s="66">
        <f>'Expenses (3)'!B1</f>
        <v>675</v>
      </c>
      <c r="C6" s="151" t="str">
        <f t="shared" si="0"/>
        <v>details →</v>
      </c>
    </row>
    <row r="7" spans="1:13" ht="24" customHeight="1" x14ac:dyDescent="0.2">
      <c r="A7" s="62" t="str">
        <f>'Expenses (4)'!$A$1</f>
        <v>Personal Care</v>
      </c>
      <c r="B7" s="66">
        <f>'Expenses (4)'!B1</f>
        <v>0</v>
      </c>
      <c r="C7" s="151" t="str">
        <f t="shared" si="0"/>
        <v>details →</v>
      </c>
    </row>
    <row r="8" spans="1:13" ht="24" customHeight="1" x14ac:dyDescent="0.2">
      <c r="A8" s="62" t="str">
        <f>'Expenses (5)'!$A$1</f>
        <v>Food &amp; Drink</v>
      </c>
      <c r="B8" s="66">
        <f>'Expenses (5)'!B1</f>
        <v>0</v>
      </c>
      <c r="C8" s="151" t="str">
        <f t="shared" si="0"/>
        <v>details →</v>
      </c>
    </row>
    <row r="9" spans="1:13" ht="24" customHeight="1" x14ac:dyDescent="0.2">
      <c r="A9" s="62" t="str">
        <f>'Expenses (6)'!$A$1</f>
        <v>Travel</v>
      </c>
      <c r="B9" s="66">
        <f>'Expenses (6)'!B1</f>
        <v>0</v>
      </c>
      <c r="C9" s="151" t="str">
        <f t="shared" si="0"/>
        <v>details →</v>
      </c>
    </row>
    <row r="10" spans="1:13" ht="24" customHeight="1" x14ac:dyDescent="0.2">
      <c r="A10" s="62" t="str">
        <f>'Expenses (7)'!$A$1</f>
        <v>Entertainment</v>
      </c>
      <c r="B10" s="66">
        <f>'Expenses (7)'!B1</f>
        <v>0</v>
      </c>
      <c r="C10" s="151" t="str">
        <f t="shared" si="0"/>
        <v>details →</v>
      </c>
    </row>
    <row r="11" spans="1:13" ht="24" customHeight="1" x14ac:dyDescent="0.2">
      <c r="A11" s="62" t="str">
        <f>'Expenses (8)'!$A$1</f>
        <v>Gifts &amp; Donations</v>
      </c>
      <c r="B11" s="66">
        <f>'Expenses (8)'!B1</f>
        <v>0</v>
      </c>
      <c r="C11" s="151" t="str">
        <f t="shared" si="0"/>
        <v>details →</v>
      </c>
    </row>
    <row r="12" spans="1:13" ht="24" customHeight="1" x14ac:dyDescent="0.2"/>
    <row r="13" spans="1:13" ht="24" customHeight="1" x14ac:dyDescent="0.2">
      <c r="A13" s="91" t="s">
        <v>133</v>
      </c>
      <c r="B13" s="96"/>
    </row>
    <row r="14" spans="1:13" ht="24" customHeight="1" x14ac:dyDescent="0.2">
      <c r="A14" s="62" t="s">
        <v>47</v>
      </c>
      <c r="B14" s="66">
        <f>'Expenses (3)'!B14*2+(CHOOSE(MATCH('Expenses (3)'!$B$23,Tables!$L$38:$L$40),1,1,0.5)*'Expenses (3)'!$C$14+CHOOSE(MATCH('Expenses (3)'!$B$23,Tables!$L$38:$L$40),1,0,0)*'Expenses (3)'!$D$14)/12</f>
        <v>1816.6666666666667</v>
      </c>
      <c r="C14" s="151" t="str">
        <f t="shared" ref="C14:C15" si="1">"details →"</f>
        <v>details →</v>
      </c>
    </row>
    <row r="15" spans="1:13" ht="24" customHeight="1" x14ac:dyDescent="0.2">
      <c r="A15" s="62" t="str">
        <f>'Debt Payments'!A1</f>
        <v>Debt Payments</v>
      </c>
      <c r="B15" s="66">
        <f>'Debt Payments'!B1</f>
        <v>0</v>
      </c>
      <c r="C15" s="151" t="str">
        <f t="shared" si="1"/>
        <v>details →</v>
      </c>
    </row>
    <row r="16" spans="1:13" ht="24" customHeight="1" x14ac:dyDescent="0.2">
      <c r="A16" s="98"/>
      <c r="B16" s="98"/>
    </row>
    <row r="17" spans="1:3" ht="24" customHeight="1" x14ac:dyDescent="0.2">
      <c r="A17" s="91" t="s">
        <v>30</v>
      </c>
      <c r="B17" s="96">
        <f>SUM(B18:B21)</f>
        <v>0</v>
      </c>
    </row>
    <row r="18" spans="1:3" ht="24" customHeight="1" x14ac:dyDescent="0.2">
      <c r="A18" s="196">
        <v>2025</v>
      </c>
      <c r="B18" s="155">
        <v>0</v>
      </c>
      <c r="C18" s="156" t="s">
        <v>216</v>
      </c>
    </row>
    <row r="19" spans="1:3" ht="24" customHeight="1" x14ac:dyDescent="0.2">
      <c r="A19" s="196">
        <v>2026</v>
      </c>
      <c r="B19" s="157">
        <v>0</v>
      </c>
      <c r="C19" s="156" t="s">
        <v>217</v>
      </c>
    </row>
    <row r="20" spans="1:3" ht="24" customHeight="1" x14ac:dyDescent="0.2">
      <c r="A20" s="196">
        <v>2027</v>
      </c>
      <c r="B20" s="157">
        <v>0</v>
      </c>
      <c r="C20" s="156" t="s">
        <v>359</v>
      </c>
    </row>
    <row r="21" spans="1:3" ht="24" customHeight="1" x14ac:dyDescent="0.2">
      <c r="A21" s="196"/>
      <c r="B21" s="157"/>
      <c r="C21" s="156"/>
    </row>
    <row r="22" spans="1:3" ht="24" customHeight="1" x14ac:dyDescent="0.2">
      <c r="A22" s="196"/>
      <c r="B22" s="157"/>
      <c r="C22" s="156"/>
    </row>
    <row r="23" spans="1:3" ht="24" customHeight="1" x14ac:dyDescent="0.2">
      <c r="A23" s="64"/>
      <c r="B23" s="87"/>
    </row>
    <row r="24" spans="1:3" ht="24" customHeight="1" x14ac:dyDescent="0.2">
      <c r="A24" s="60" t="s">
        <v>134</v>
      </c>
      <c r="B24" s="61"/>
    </row>
    <row r="25" spans="1:3" ht="24" customHeight="1" x14ac:dyDescent="0.2"/>
    <row r="26" spans="1:3" ht="24" customHeight="1" x14ac:dyDescent="0.2">
      <c r="A26" s="6"/>
      <c r="B26" s="61"/>
    </row>
    <row r="27" spans="1:3" ht="24" customHeight="1" x14ac:dyDescent="0.2"/>
    <row r="28" spans="1:3" ht="24" customHeight="1" x14ac:dyDescent="0.2">
      <c r="A28" s="6"/>
      <c r="B28" s="61"/>
    </row>
    <row r="29" spans="1:3" ht="24" customHeight="1" x14ac:dyDescent="0.2">
      <c r="A29" s="6"/>
      <c r="B29" s="61"/>
    </row>
    <row r="30" spans="1:3" ht="24" customHeight="1" x14ac:dyDescent="0.2">
      <c r="A30" s="6"/>
      <c r="B30" s="61"/>
    </row>
    <row r="31" spans="1:3" ht="24" customHeight="1" x14ac:dyDescent="0.2">
      <c r="A31" s="6"/>
      <c r="B31" s="61"/>
    </row>
    <row r="32" spans="1:3" ht="24" customHeight="1" x14ac:dyDescent="0.2">
      <c r="A32" s="6"/>
      <c r="B32" s="61"/>
    </row>
    <row r="33" spans="1:2" ht="24" customHeight="1" x14ac:dyDescent="0.2">
      <c r="A33" s="6"/>
      <c r="B33" s="61"/>
    </row>
    <row r="34" spans="1:2" ht="24" customHeight="1" x14ac:dyDescent="0.2">
      <c r="A34" s="6"/>
      <c r="B34" s="61"/>
    </row>
    <row r="35" spans="1:2" ht="24" customHeight="1" x14ac:dyDescent="0.2">
      <c r="A35" s="6"/>
      <c r="B35" s="61"/>
    </row>
    <row r="36" spans="1:2" ht="24" customHeight="1" x14ac:dyDescent="0.2">
      <c r="A36" s="6"/>
      <c r="B36" s="61"/>
    </row>
    <row r="37" spans="1:2" ht="24" customHeight="1" x14ac:dyDescent="0.2">
      <c r="A37" s="6"/>
      <c r="B37" s="61"/>
    </row>
    <row r="38" spans="1:2" ht="24" customHeight="1" x14ac:dyDescent="0.2">
      <c r="A38" s="6"/>
      <c r="B38" s="61"/>
    </row>
    <row r="39" spans="1:2" ht="24" customHeight="1" x14ac:dyDescent="0.2">
      <c r="A39" s="6"/>
      <c r="B39" s="61"/>
    </row>
  </sheetData>
  <sheetProtection algorithmName="SHA-512" hashValue="Cl85YnZCzjjruLV54FBXwI9wtTXBuNUUNuCsXFMujOGDKrWQP+jVwKh+KtFiVL8UzOhvwYWxgCvoAGA9qVVD0Q==" saltValue="z1t+aKZQKk6gOLZguYinsw==" spinCount="100000" sheet="1" objects="1" scenarios="1"/>
  <mergeCells count="1">
    <mergeCell ref="D1:M1"/>
  </mergeCells>
  <conditionalFormatting sqref="C1">
    <cfRule type="notContainsBlanks" dxfId="36" priority="1">
      <formula>LEN(TRIM(C1))&gt;0</formula>
    </cfRule>
  </conditionalFormatting>
  <conditionalFormatting sqref="C18:C22">
    <cfRule type="notContainsBlanks" dxfId="35" priority="2">
      <formula>LEN(TRIM(C18))&gt;0</formula>
    </cfRule>
  </conditionalFormatting>
  <hyperlinks>
    <hyperlink ref="C4" location="'Expenses (1)'!A3" tooltip="use worksheet for details" display="'Expenses (1)'!A3" xr:uid="{C0ADF499-5BD5-43E6-BAD1-F681BEBDE769}"/>
    <hyperlink ref="C5:C11" location="'Debt Payments'!A4" tooltip="use worksheet for details" display="'Debt Payments'!A4" xr:uid="{0CC6CFDA-49BC-42BB-B22F-9CA63FFF3BA8}"/>
    <hyperlink ref="C15" location="'Debt Payments'!A4" tooltip="use worksheet for details" display="'Debt Payments'!A4" xr:uid="{D01878EA-3F00-4A81-9714-685DB367F7C7}"/>
    <hyperlink ref="C5" location="'Expenses (2)'!A3" tooltip="use worksheet for details" display="'Expenses (2)'!A3" xr:uid="{6D8E981B-DFE1-40D3-9CEF-A9928BD5AEA5}"/>
    <hyperlink ref="C6" location="'Expenses (3)'!A4" tooltip="use worksheet for details" display="'Expenses (3)'!A4" xr:uid="{CD8DFC7D-B7A5-4F88-83B5-3F43CBE02B02}"/>
    <hyperlink ref="C7" location="'Expenses (4)'!A3" tooltip="use worksheet for details" display="'Expenses (4)'!A3" xr:uid="{B0483E1C-A066-4249-A445-A93BF0582986}"/>
    <hyperlink ref="C8" location="'Expenses (5)'!A3" tooltip="use worksheet for details" display="'Expenses (5)'!A3" xr:uid="{1067867B-15BA-425C-A71E-2D9101573178}"/>
    <hyperlink ref="C9" location="'Expenses (6)'!A3" tooltip="use worksheet for details" display="'Expenses (6)'!A3" xr:uid="{3E0F1C48-8922-4167-A9D0-96448D0BDD13}"/>
    <hyperlink ref="C10" location="'Expenses (7)'!A3" tooltip="use worksheet for details" display="'Expenses (7)'!A3" xr:uid="{EC257123-0678-4DA9-825D-906E3F9770D1}"/>
    <hyperlink ref="C11" location="'Expenses (8)'!A3" tooltip="use worksheet for details" display="'Expenses (8)'!A3" xr:uid="{D2C38BF0-2A63-4123-8A89-257AE3A8C492}"/>
    <hyperlink ref="C1" location="'retirement income vs spending'!A2" tooltip="to summary chart" display="'retirement income vs spending'!A2" xr:uid="{FB6EBEA5-5DDC-4E4B-8C01-84B1A3528795}"/>
    <hyperlink ref="C14" location="'Expenses (3)'!B14" tooltip="use worksheet for details" display="'Expenses (3)'!B14" xr:uid="{7B30AF0A-1ADA-461F-9E73-F55E1D21B49D}"/>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F5030-F2B5-4855-A4A2-B1AE5C638F02}">
  <sheetPr codeName="Sheet6"/>
  <dimension ref="A1:G25"/>
  <sheetViews>
    <sheetView showGridLines="0" workbookViewId="0">
      <selection activeCell="H9" sqref="H9"/>
    </sheetView>
  </sheetViews>
  <sheetFormatPr defaultRowHeight="12.75" x14ac:dyDescent="0.2"/>
  <cols>
    <col min="1" max="1" width="34.7109375" customWidth="1"/>
    <col min="2" max="2" width="2.7109375" customWidth="1"/>
    <col min="3" max="3" width="16.7109375" customWidth="1"/>
    <col min="4" max="4" width="36.7109375" customWidth="1"/>
    <col min="5" max="5" width="16.7109375" customWidth="1"/>
    <col min="6" max="6" width="2.7109375" customWidth="1"/>
    <col min="7" max="9" width="16.7109375" customWidth="1"/>
    <col min="10" max="10" width="2.7109375" customWidth="1"/>
    <col min="11" max="36" width="16.7109375" customWidth="1"/>
  </cols>
  <sheetData>
    <row r="1" spans="1:7" ht="36" customHeight="1" x14ac:dyDescent="0.2">
      <c r="A1" s="9" t="s">
        <v>48</v>
      </c>
      <c r="B1" s="9"/>
      <c r="C1" s="8"/>
      <c r="D1" s="239" t="str">
        <f>"← retirement income chart"</f>
        <v>← retirement income chart</v>
      </c>
      <c r="E1" s="177"/>
    </row>
    <row r="2" spans="1:7" ht="36" customHeight="1" x14ac:dyDescent="0.2">
      <c r="A2" s="10"/>
      <c r="B2" s="10"/>
      <c r="C2" s="11"/>
    </row>
    <row r="3" spans="1:7" ht="24" customHeight="1" x14ac:dyDescent="0.2">
      <c r="A3" s="126" t="s">
        <v>94</v>
      </c>
      <c r="B3" s="212" t="s">
        <v>126</v>
      </c>
      <c r="C3" s="315">
        <f>Tables!B57</f>
        <v>2026</v>
      </c>
      <c r="D3" s="222" t="s">
        <v>346</v>
      </c>
    </row>
    <row r="4" spans="1:7" ht="24" customHeight="1" x14ac:dyDescent="0.2">
      <c r="A4" s="213" t="s">
        <v>123</v>
      </c>
      <c r="B4" s="214" t="s">
        <v>126</v>
      </c>
      <c r="C4" s="215">
        <v>60</v>
      </c>
      <c r="D4" s="223" t="s">
        <v>253</v>
      </c>
      <c r="E4" s="149"/>
      <c r="F4" s="149"/>
    </row>
    <row r="5" spans="1:7" ht="24" customHeight="1" x14ac:dyDescent="0.2">
      <c r="A5" s="213" t="s">
        <v>124</v>
      </c>
      <c r="B5" s="214" t="s">
        <v>127</v>
      </c>
      <c r="C5" s="215">
        <v>60</v>
      </c>
      <c r="D5" s="223" t="s">
        <v>347</v>
      </c>
      <c r="E5" s="149"/>
      <c r="F5" s="149"/>
    </row>
    <row r="6" spans="1:7" ht="24" customHeight="1" x14ac:dyDescent="0.2">
      <c r="A6" s="62" t="s">
        <v>95</v>
      </c>
      <c r="B6" s="138"/>
      <c r="C6" s="215">
        <v>60</v>
      </c>
      <c r="D6" s="223" t="s">
        <v>125</v>
      </c>
      <c r="E6" s="149"/>
      <c r="F6" s="149"/>
      <c r="G6" s="149"/>
    </row>
    <row r="7" spans="1:7" ht="24" customHeight="1" x14ac:dyDescent="0.2"/>
    <row r="8" spans="1:7" ht="24" customHeight="1" x14ac:dyDescent="0.2">
      <c r="A8" s="91" t="s">
        <v>71</v>
      </c>
      <c r="B8" s="91"/>
      <c r="C8" s="127"/>
      <c r="D8" s="91" t="s">
        <v>58</v>
      </c>
    </row>
    <row r="9" spans="1:7" ht="24" customHeight="1" x14ac:dyDescent="0.2">
      <c r="A9" s="121" t="s">
        <v>31</v>
      </c>
      <c r="B9" s="134"/>
      <c r="C9" s="216">
        <v>2.5000000000000001E-2</v>
      </c>
      <c r="D9" s="217" t="s">
        <v>260</v>
      </c>
      <c r="E9" s="148"/>
    </row>
    <row r="10" spans="1:7" ht="24" customHeight="1" x14ac:dyDescent="0.2">
      <c r="A10" s="130" t="s">
        <v>32</v>
      </c>
      <c r="B10" s="121"/>
      <c r="C10" s="216">
        <v>2.2499999999999999E-2</v>
      </c>
      <c r="D10" s="217" t="s">
        <v>264</v>
      </c>
    </row>
    <row r="11" spans="1:7" ht="24" customHeight="1" x14ac:dyDescent="0.2">
      <c r="A11" s="130" t="s">
        <v>49</v>
      </c>
      <c r="B11" s="121"/>
      <c r="C11" s="216">
        <v>0.05</v>
      </c>
      <c r="D11" s="217" t="s">
        <v>263</v>
      </c>
    </row>
    <row r="12" spans="1:7" ht="24" customHeight="1" x14ac:dyDescent="0.2">
      <c r="C12" s="98"/>
    </row>
    <row r="13" spans="1:7" ht="24" customHeight="1" x14ac:dyDescent="0.2">
      <c r="A13" s="91" t="s">
        <v>50</v>
      </c>
      <c r="B13" s="91"/>
      <c r="C13" s="129"/>
      <c r="D13" s="91" t="s">
        <v>58</v>
      </c>
    </row>
    <row r="14" spans="1:7" ht="24" customHeight="1" x14ac:dyDescent="0.2">
      <c r="A14" s="62" t="s">
        <v>256</v>
      </c>
      <c r="B14" s="135"/>
      <c r="C14" s="236">
        <f>CHOOSE(MATCH($D$14,Tables!$L$5:$L$7,0),0.065,0.0725,0.0575,"")</f>
        <v>6.5000000000000002E-2</v>
      </c>
      <c r="D14" s="218" t="s">
        <v>85</v>
      </c>
    </row>
    <row r="15" spans="1:7" ht="24" customHeight="1" x14ac:dyDescent="0.2">
      <c r="A15" s="64"/>
      <c r="B15" s="137"/>
    </row>
    <row r="16" spans="1:7" ht="24" customHeight="1" x14ac:dyDescent="0.2">
      <c r="A16" s="91" t="s">
        <v>90</v>
      </c>
      <c r="B16" s="91"/>
      <c r="C16" s="91"/>
      <c r="D16" s="91" t="s">
        <v>58</v>
      </c>
    </row>
    <row r="17" spans="1:5" ht="24" customHeight="1" x14ac:dyDescent="0.2">
      <c r="A17" s="62" t="s">
        <v>34</v>
      </c>
      <c r="B17" s="63"/>
      <c r="C17" s="132"/>
      <c r="D17" s="218" t="s">
        <v>232</v>
      </c>
    </row>
    <row r="18" spans="1:5" ht="24" customHeight="1" x14ac:dyDescent="0.2">
      <c r="A18" s="131" t="s">
        <v>266</v>
      </c>
      <c r="B18" s="136"/>
      <c r="C18" s="133"/>
      <c r="D18" s="219" t="s">
        <v>268</v>
      </c>
      <c r="E18" s="177"/>
    </row>
    <row r="19" spans="1:5" ht="24" customHeight="1" x14ac:dyDescent="0.2">
      <c r="A19" s="6"/>
      <c r="B19" s="6"/>
      <c r="C19" s="61"/>
    </row>
    <row r="20" spans="1:5" ht="24" customHeight="1" x14ac:dyDescent="0.2">
      <c r="A20" s="91" t="s">
        <v>255</v>
      </c>
      <c r="B20" s="91"/>
      <c r="C20" s="91"/>
      <c r="D20" s="128"/>
    </row>
    <row r="21" spans="1:5" ht="24" customHeight="1" x14ac:dyDescent="0.2">
      <c r="A21" s="65" t="s">
        <v>51</v>
      </c>
      <c r="B21" s="65"/>
      <c r="C21" s="220">
        <v>0.6</v>
      </c>
      <c r="D21" s="224" t="s">
        <v>271</v>
      </c>
    </row>
    <row r="22" spans="1:5" ht="24" customHeight="1" x14ac:dyDescent="0.2">
      <c r="A22" s="62" t="s">
        <v>52</v>
      </c>
      <c r="B22" s="65"/>
      <c r="C22" s="221">
        <v>0.3</v>
      </c>
      <c r="D22" s="225"/>
    </row>
    <row r="23" spans="1:5" ht="24" customHeight="1" x14ac:dyDescent="0.2">
      <c r="A23" s="62" t="s">
        <v>53</v>
      </c>
      <c r="B23" s="65"/>
      <c r="C23" s="221">
        <v>0.1</v>
      </c>
      <c r="D23" s="226"/>
    </row>
    <row r="24" spans="1:5" ht="24" customHeight="1" x14ac:dyDescent="0.2"/>
    <row r="25" spans="1:5" ht="24" customHeight="1" x14ac:dyDescent="0.2"/>
  </sheetData>
  <sheetProtection algorithmName="SHA-512" hashValue="c4VI3w5KUpbmv4lhENjuQ7D16B9eVAfHLC5wFyoJ/fPE76HSgsmwUY2MHvhJMkBlYIGbb+UD3zmZjCm8F3DvGQ==" saltValue="oI0+4cuduLZIIjoWH0ABoQ==" spinCount="100000" sheet="1" objects="1" scenarios="1"/>
  <conditionalFormatting sqref="A5:C5">
    <cfRule type="expression" dxfId="34" priority="2">
      <formula>$B$3="S"</formula>
    </cfRule>
    <cfRule type="expression" dxfId="33" priority="8">
      <formula>$B$3="S"</formula>
    </cfRule>
  </conditionalFormatting>
  <conditionalFormatting sqref="D1">
    <cfRule type="notContainsBlanks" dxfId="28" priority="3">
      <formula>LEN(TRIM(D1))&gt;0</formula>
    </cfRule>
  </conditionalFormatting>
  <conditionalFormatting sqref="D5">
    <cfRule type="expression" dxfId="27" priority="1">
      <formula>$B$3="S"</formula>
    </cfRule>
  </conditionalFormatting>
  <dataValidations count="2">
    <dataValidation type="list" allowBlank="1" showInputMessage="1" showErrorMessage="1" sqref="B4:B5" xr:uid="{3B6D00F7-104F-4BEE-8536-E24C23E4BF81}">
      <formula1>"M,F"</formula1>
    </dataValidation>
    <dataValidation type="list" allowBlank="1" showInputMessage="1" showErrorMessage="1" sqref="B3" xr:uid="{AE8C4473-109E-4F20-B20B-3339E92F9854}">
      <formula1>"S,M"</formula1>
    </dataValidation>
  </dataValidations>
  <hyperlinks>
    <hyperlink ref="D1" location="'retirement income vs spending'!A2" tooltip="to summary chart" display="'retirement income vs spending'!A2" xr:uid="{FBCA6BB2-55FC-44FB-9C6C-79EFF7DA46C1}"/>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7" id="{A4CDF286-9426-43A1-ACB7-347C6C2CE3A4}">
            <xm:f>MATCH($D$9,Tables!$L$43:$L$45,0)=3</xm:f>
            <x14:dxf>
              <fill>
                <patternFill patternType="lightUp"/>
              </fill>
            </x14:dxf>
          </x14:cfRule>
          <xm:sqref>C9</xm:sqref>
        </x14:conditionalFormatting>
        <x14:conditionalFormatting xmlns:xm="http://schemas.microsoft.com/office/excel/2006/main">
          <x14:cfRule type="expression" priority="18" id="{12B778C7-A12E-4FA7-B570-C5BD66F317DC}">
            <xm:f>MATCH($D$10,Tables!$L$48:$L$49,0)=2</xm:f>
            <x14:dxf>
              <fill>
                <patternFill patternType="lightUp"/>
              </fill>
            </x14:dxf>
          </x14:cfRule>
          <xm:sqref>C10</xm:sqref>
        </x14:conditionalFormatting>
        <x14:conditionalFormatting xmlns:xm="http://schemas.microsoft.com/office/excel/2006/main">
          <x14:cfRule type="expression" priority="19" id="{7EDD0CCA-EAA3-4961-A893-367BF6BF5B1A}">
            <xm:f>MATCH($D$11,Tables!$L$56:$L$57,0)=2</xm:f>
            <x14:dxf>
              <fill>
                <patternFill patternType="lightUp"/>
              </fill>
            </x14:dxf>
          </x14:cfRule>
          <xm:sqref>C11</xm:sqref>
        </x14:conditionalFormatting>
        <x14:conditionalFormatting xmlns:xm="http://schemas.microsoft.com/office/excel/2006/main">
          <x14:cfRule type="expression" priority="16" id="{2B8B2114-C987-4EFF-9230-724BB82224D9}">
            <xm:f>MATCH($D$14,Tables!$L$5:$L$13,0)=4</xm:f>
            <x14:dxf>
              <fill>
                <patternFill patternType="lightUp"/>
              </fill>
            </x14:dxf>
          </x14:cfRule>
          <xm:sqref>C14</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5160A568-B6AC-4203-BDEB-8EF9E77F9BEA}">
          <x14:formula1>
            <xm:f>Tables!$L$5:$L$7</xm:f>
          </x14:formula1>
          <xm:sqref>D14</xm:sqref>
        </x14:dataValidation>
        <x14:dataValidation type="list" allowBlank="1" showInputMessage="1" showErrorMessage="1" xr:uid="{47F981DF-233A-4FE7-9E1D-70B986299816}">
          <x14:formula1>
            <xm:f>Tables!$L$43:$L$45</xm:f>
          </x14:formula1>
          <xm:sqref>D9</xm:sqref>
        </x14:dataValidation>
        <x14:dataValidation type="list" allowBlank="1" showInputMessage="1" showErrorMessage="1" xr:uid="{0093BD17-1D2E-46B3-A287-81ABACCBBF1B}">
          <x14:formula1>
            <xm:f>Tables!$L$48:$L$49</xm:f>
          </x14:formula1>
          <xm:sqref>D10</xm:sqref>
        </x14:dataValidation>
        <x14:dataValidation type="list" allowBlank="1" showInputMessage="1" showErrorMessage="1" xr:uid="{82E299E2-C9E5-4711-A761-B742615550B0}">
          <x14:formula1>
            <xm:f>Tables!$L$56:$L$57</xm:f>
          </x14:formula1>
          <xm:sqref>D11</xm:sqref>
        </x14:dataValidation>
        <x14:dataValidation type="list" allowBlank="1" showInputMessage="1" showErrorMessage="1" xr:uid="{6C1C626B-6E5B-4E78-83FC-4950AB001906}">
          <x14:formula1>
            <xm:f>Tables!$L$52:$L$53</xm:f>
          </x14:formula1>
          <xm:sqref>D17</xm:sqref>
        </x14:dataValidation>
        <x14:dataValidation type="list" allowBlank="1" showInputMessage="1" showErrorMessage="1" xr:uid="{DA093108-6587-4EA1-8F94-7B3F4C669F60}">
          <x14:formula1>
            <xm:f>Tables!$L$60:$L$62</xm:f>
          </x14:formula1>
          <xm:sqref>D18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7C3D8-86A9-4343-A139-307AFDA570BA}">
  <sheetPr codeName="Sheet7"/>
  <dimension ref="A1:G36"/>
  <sheetViews>
    <sheetView showGridLines="0" workbookViewId="0">
      <selection activeCell="C3" sqref="C3"/>
    </sheetView>
  </sheetViews>
  <sheetFormatPr defaultRowHeight="12.75" x14ac:dyDescent="0.2"/>
  <cols>
    <col min="1" max="1" width="36.7109375" customWidth="1"/>
    <col min="2" max="2" width="16.7109375" customWidth="1"/>
    <col min="3" max="3" width="32.7109375" customWidth="1"/>
    <col min="4" max="4" width="2.7109375" customWidth="1"/>
    <col min="5" max="5" width="36.7109375" customWidth="1"/>
    <col min="6" max="6" width="16.7109375" customWidth="1"/>
    <col min="7" max="7" width="2.7109375" customWidth="1"/>
  </cols>
  <sheetData>
    <row r="1" spans="1:7" ht="36" customHeight="1" x14ac:dyDescent="0.2">
      <c r="A1" s="9" t="s">
        <v>73</v>
      </c>
      <c r="B1" s="8">
        <f>SUM(B3:B20)/IF(F2="Annually",12,1)</f>
        <v>0</v>
      </c>
      <c r="C1" s="150" t="str">
        <f>"← back to "&amp;'Total Expenses'!$A$1</f>
        <v>← back to Total Expenses</v>
      </c>
      <c r="D1" s="67"/>
      <c r="E1" s="67"/>
      <c r="F1" s="67"/>
      <c r="G1" s="67"/>
    </row>
    <row r="2" spans="1:7" ht="36" customHeight="1" x14ac:dyDescent="0.2">
      <c r="A2" s="14"/>
      <c r="B2" s="15"/>
      <c r="D2" s="67"/>
      <c r="E2" s="95" t="s">
        <v>205</v>
      </c>
      <c r="F2" s="205" t="s">
        <v>41</v>
      </c>
      <c r="G2" s="67"/>
    </row>
    <row r="3" spans="1:7" ht="24" customHeight="1" x14ac:dyDescent="0.2">
      <c r="A3" s="193" t="s">
        <v>4</v>
      </c>
      <c r="B3" s="234">
        <f>'Debt Payments'!B4</f>
        <v>0</v>
      </c>
      <c r="C3" s="156" t="s">
        <v>190</v>
      </c>
      <c r="D3" s="68"/>
      <c r="E3" s="33" t="str">
        <f>A6&amp;" (details)"</f>
        <v>Utilities (details)</v>
      </c>
      <c r="F3" s="32">
        <f>SUM(F4:F11)</f>
        <v>0</v>
      </c>
      <c r="G3" s="67"/>
    </row>
    <row r="4" spans="1:7" ht="24" customHeight="1" x14ac:dyDescent="0.2">
      <c r="A4" s="193" t="s">
        <v>184</v>
      </c>
      <c r="B4" s="234">
        <f>'Expenses (3)'!B5*IF(F2="Annually",12,1)</f>
        <v>0</v>
      </c>
      <c r="C4" s="156" t="s">
        <v>182</v>
      </c>
      <c r="D4" s="68"/>
      <c r="E4" s="197" t="s">
        <v>0</v>
      </c>
      <c r="F4" s="200">
        <v>0</v>
      </c>
      <c r="G4" s="67"/>
    </row>
    <row r="5" spans="1:7" ht="24" customHeight="1" x14ac:dyDescent="0.2">
      <c r="A5" s="195" t="s">
        <v>220</v>
      </c>
      <c r="B5" s="234">
        <f>'Expenses (1)'!$B$23*'Expenses (1)'!$B$22/IF($F$2="Monthly",12,1)</f>
        <v>0</v>
      </c>
      <c r="C5" s="156" t="s">
        <v>336</v>
      </c>
      <c r="D5" s="68"/>
      <c r="E5" s="197" t="s">
        <v>1</v>
      </c>
      <c r="F5" s="200">
        <v>0</v>
      </c>
      <c r="G5" s="67"/>
    </row>
    <row r="6" spans="1:7" ht="24" customHeight="1" x14ac:dyDescent="0.2">
      <c r="A6" s="193" t="s">
        <v>174</v>
      </c>
      <c r="B6" s="234">
        <f>F3</f>
        <v>0</v>
      </c>
      <c r="C6" s="156" t="s">
        <v>199</v>
      </c>
      <c r="D6" s="68"/>
      <c r="E6" s="197" t="s">
        <v>5</v>
      </c>
      <c r="F6" s="200">
        <v>0</v>
      </c>
      <c r="G6" s="67"/>
    </row>
    <row r="7" spans="1:7" ht="24" customHeight="1" x14ac:dyDescent="0.2">
      <c r="A7" s="193" t="s">
        <v>191</v>
      </c>
      <c r="B7" s="234">
        <f>F13</f>
        <v>0</v>
      </c>
      <c r="C7" s="156" t="s">
        <v>199</v>
      </c>
      <c r="D7" s="68"/>
      <c r="E7" s="197" t="s">
        <v>20</v>
      </c>
      <c r="F7" s="200">
        <v>0</v>
      </c>
      <c r="G7" s="67"/>
    </row>
    <row r="8" spans="1:7" ht="24" customHeight="1" x14ac:dyDescent="0.2">
      <c r="A8" s="197" t="s">
        <v>173</v>
      </c>
      <c r="B8" s="234">
        <f>F21</f>
        <v>0</v>
      </c>
      <c r="C8" s="156" t="s">
        <v>199</v>
      </c>
      <c r="D8" s="68"/>
      <c r="E8" s="197" t="s">
        <v>195</v>
      </c>
      <c r="F8" s="200">
        <v>0</v>
      </c>
      <c r="G8" s="67"/>
    </row>
    <row r="9" spans="1:7" ht="24" customHeight="1" x14ac:dyDescent="0.2">
      <c r="A9" s="197" t="s">
        <v>93</v>
      </c>
      <c r="B9" s="200">
        <v>0</v>
      </c>
      <c r="C9" s="156"/>
      <c r="D9" s="68"/>
      <c r="E9" s="197" t="s">
        <v>93</v>
      </c>
      <c r="F9" s="200">
        <v>0</v>
      </c>
      <c r="G9" s="67"/>
    </row>
    <row r="10" spans="1:7" ht="24" customHeight="1" x14ac:dyDescent="0.2">
      <c r="A10" s="197"/>
      <c r="B10" s="200"/>
      <c r="C10" s="156"/>
      <c r="D10" s="68"/>
      <c r="E10" s="197"/>
      <c r="F10" s="200"/>
      <c r="G10" s="67"/>
    </row>
    <row r="11" spans="1:7" ht="24" customHeight="1" x14ac:dyDescent="0.2">
      <c r="A11" s="197"/>
      <c r="B11" s="200"/>
      <c r="C11" s="156"/>
      <c r="D11" s="68"/>
      <c r="E11" s="197"/>
      <c r="F11" s="200"/>
      <c r="G11" s="67"/>
    </row>
    <row r="12" spans="1:7" ht="24" customHeight="1" x14ac:dyDescent="0.2">
      <c r="A12" s="197"/>
      <c r="B12" s="200"/>
      <c r="C12" s="158"/>
      <c r="D12" s="68"/>
      <c r="E12" s="67"/>
      <c r="F12" s="67"/>
      <c r="G12" s="67"/>
    </row>
    <row r="13" spans="1:7" ht="24" customHeight="1" x14ac:dyDescent="0.2">
      <c r="A13" s="197"/>
      <c r="B13" s="200"/>
      <c r="C13" s="156"/>
      <c r="D13" s="68"/>
      <c r="E13" s="33" t="str">
        <f>A7&amp;" (details)"</f>
        <v>Maintenance / repairs (details)</v>
      </c>
      <c r="F13" s="32">
        <f>SUM(F14:F19)</f>
        <v>0</v>
      </c>
      <c r="G13" s="67"/>
    </row>
    <row r="14" spans="1:7" ht="24" customHeight="1" x14ac:dyDescent="0.2">
      <c r="A14" s="197"/>
      <c r="B14" s="200"/>
      <c r="C14" s="156"/>
      <c r="D14" s="68"/>
      <c r="E14" s="197" t="s">
        <v>6</v>
      </c>
      <c r="F14" s="200">
        <v>0</v>
      </c>
      <c r="G14" s="67"/>
    </row>
    <row r="15" spans="1:7" ht="24" customHeight="1" x14ac:dyDescent="0.2">
      <c r="A15" s="197"/>
      <c r="B15" s="200"/>
      <c r="C15" s="156"/>
      <c r="D15" s="68"/>
      <c r="E15" s="197" t="s">
        <v>340</v>
      </c>
      <c r="F15" s="200">
        <v>0</v>
      </c>
      <c r="G15" s="67"/>
    </row>
    <row r="16" spans="1:7" ht="24" customHeight="1" x14ac:dyDescent="0.2">
      <c r="A16" s="197"/>
      <c r="B16" s="200"/>
      <c r="C16" s="156"/>
      <c r="D16" s="68"/>
      <c r="E16" s="197" t="s">
        <v>193</v>
      </c>
      <c r="F16" s="200">
        <v>0</v>
      </c>
      <c r="G16" s="67"/>
    </row>
    <row r="17" spans="1:7" ht="24" customHeight="1" x14ac:dyDescent="0.2">
      <c r="A17" s="197"/>
      <c r="B17" s="200"/>
      <c r="C17" s="156"/>
      <c r="D17" s="68"/>
      <c r="E17" s="197" t="s">
        <v>192</v>
      </c>
      <c r="F17" s="200">
        <v>0</v>
      </c>
      <c r="G17" s="67"/>
    </row>
    <row r="18" spans="1:7" ht="24" customHeight="1" x14ac:dyDescent="0.2">
      <c r="A18" s="197"/>
      <c r="B18" s="200"/>
      <c r="C18" s="156"/>
      <c r="D18" s="68"/>
      <c r="E18" s="197"/>
      <c r="F18" s="200"/>
      <c r="G18" s="67"/>
    </row>
    <row r="19" spans="1:7" ht="24" customHeight="1" x14ac:dyDescent="0.2">
      <c r="A19" s="197"/>
      <c r="B19" s="200"/>
      <c r="C19" s="156"/>
      <c r="D19" s="68"/>
      <c r="E19" s="197"/>
      <c r="F19" s="200"/>
      <c r="G19" s="67"/>
    </row>
    <row r="20" spans="1:7" ht="24" customHeight="1" x14ac:dyDescent="0.2">
      <c r="A20" s="197"/>
      <c r="B20" s="200"/>
      <c r="C20" s="156"/>
      <c r="D20" s="68"/>
      <c r="E20" s="67"/>
      <c r="F20" s="67"/>
      <c r="G20" s="67"/>
    </row>
    <row r="21" spans="1:7" ht="24" customHeight="1" x14ac:dyDescent="0.2">
      <c r="A21" s="6"/>
      <c r="B21" s="61"/>
      <c r="C21" s="60"/>
      <c r="D21" s="68"/>
      <c r="E21" s="33" t="str">
        <f>A8&amp;" (details)"</f>
        <v>Other (details)</v>
      </c>
      <c r="F21" s="32">
        <f>SUM(F22:F27)</f>
        <v>0</v>
      </c>
      <c r="G21" s="67"/>
    </row>
    <row r="22" spans="1:7" ht="24" customHeight="1" x14ac:dyDescent="0.2">
      <c r="A22" s="197" t="s">
        <v>135</v>
      </c>
      <c r="B22" s="200">
        <v>0</v>
      </c>
      <c r="C22" s="156" t="s">
        <v>194</v>
      </c>
      <c r="D22" s="68"/>
      <c r="E22" s="197" t="s">
        <v>341</v>
      </c>
      <c r="F22" s="200">
        <v>0</v>
      </c>
      <c r="G22" s="67"/>
    </row>
    <row r="23" spans="1:7" ht="24" customHeight="1" x14ac:dyDescent="0.2">
      <c r="A23" s="198" t="s">
        <v>130</v>
      </c>
      <c r="B23" s="201">
        <v>0</v>
      </c>
      <c r="C23" s="199" t="s">
        <v>254</v>
      </c>
      <c r="D23" s="67"/>
      <c r="E23" s="197" t="s">
        <v>93</v>
      </c>
      <c r="F23" s="200">
        <v>0</v>
      </c>
      <c r="G23" s="67"/>
    </row>
    <row r="24" spans="1:7" ht="24" customHeight="1" x14ac:dyDescent="0.2">
      <c r="A24" s="198" t="s">
        <v>129</v>
      </c>
      <c r="B24" s="202">
        <v>0</v>
      </c>
      <c r="C24" s="156"/>
      <c r="D24" s="67"/>
      <c r="E24" s="197"/>
      <c r="F24" s="200"/>
      <c r="G24" s="67"/>
    </row>
    <row r="25" spans="1:7" ht="24" customHeight="1" x14ac:dyDescent="0.2">
      <c r="A25" s="6"/>
      <c r="B25" s="61"/>
      <c r="D25" s="67"/>
      <c r="E25" s="197"/>
      <c r="F25" s="200"/>
      <c r="G25" s="67"/>
    </row>
    <row r="26" spans="1:7" ht="24" customHeight="1" x14ac:dyDescent="0.2">
      <c r="A26" s="6"/>
      <c r="B26" s="61"/>
      <c r="D26" s="67"/>
      <c r="E26" s="197"/>
      <c r="F26" s="200"/>
      <c r="G26" s="67"/>
    </row>
    <row r="27" spans="1:7" ht="24" customHeight="1" x14ac:dyDescent="0.2">
      <c r="A27" s="6"/>
      <c r="B27" s="61"/>
      <c r="D27" s="67"/>
      <c r="E27" s="197"/>
      <c r="F27" s="200"/>
      <c r="G27" s="67"/>
    </row>
    <row r="28" spans="1:7" ht="24" customHeight="1" x14ac:dyDescent="0.2">
      <c r="A28" s="6"/>
      <c r="B28" s="61"/>
      <c r="D28" s="67"/>
      <c r="E28" s="67"/>
      <c r="F28" s="67"/>
      <c r="G28" s="67"/>
    </row>
    <row r="29" spans="1:7" ht="24" customHeight="1" x14ac:dyDescent="0.2">
      <c r="A29" s="6"/>
      <c r="B29" s="61"/>
    </row>
    <row r="30" spans="1:7" ht="24" customHeight="1" x14ac:dyDescent="0.2">
      <c r="A30" s="6"/>
      <c r="B30" s="61"/>
    </row>
    <row r="31" spans="1:7" ht="24" customHeight="1" x14ac:dyDescent="0.2">
      <c r="A31" s="6"/>
      <c r="B31" s="61"/>
    </row>
    <row r="32" spans="1:7" ht="24" customHeight="1" x14ac:dyDescent="0.2">
      <c r="A32" s="6"/>
      <c r="B32" s="61"/>
    </row>
    <row r="33" spans="1:2" ht="24" customHeight="1" x14ac:dyDescent="0.2">
      <c r="A33" s="6"/>
      <c r="B33" s="61"/>
    </row>
    <row r="34" spans="1:2" ht="24" customHeight="1" x14ac:dyDescent="0.2">
      <c r="A34" s="6"/>
      <c r="B34" s="61"/>
    </row>
    <row r="35" spans="1:2" ht="24" customHeight="1" x14ac:dyDescent="0.2">
      <c r="A35" s="6"/>
      <c r="B35" s="61"/>
    </row>
    <row r="36" spans="1:2" ht="24" customHeight="1" x14ac:dyDescent="0.2">
      <c r="A36" s="6"/>
      <c r="B36" s="61"/>
    </row>
  </sheetData>
  <sheetProtection algorithmName="SHA-512" hashValue="fYNkfdet3GLtEttXy5P3aaiBuqfjCK/ereNnoYzgD06wCofGncAzmP8a+bXNkVRgdxO8fQGED3QzKtH1i7FDlQ==" saltValue="RxNYM/eIRwOWQ0UipmkVVg==" spinCount="100000" sheet="1" objects="1" scenarios="1"/>
  <conditionalFormatting sqref="C1 C3:D11 C13:D22">
    <cfRule type="notContainsBlanks" dxfId="26" priority="1">
      <formula>LEN(TRIM(C1))&gt;0</formula>
    </cfRule>
  </conditionalFormatting>
  <conditionalFormatting sqref="C24">
    <cfRule type="notContainsBlanks" dxfId="25" priority="2">
      <formula>LEN(TRIM(C24))&gt;0</formula>
    </cfRule>
  </conditionalFormatting>
  <conditionalFormatting sqref="D12">
    <cfRule type="notContainsBlanks" dxfId="24" priority="4">
      <formula>LEN(TRIM(D12))&gt;0</formula>
    </cfRule>
  </conditionalFormatting>
  <dataValidations count="1">
    <dataValidation type="list" allowBlank="1" showInputMessage="1" showErrorMessage="1" sqref="F2" xr:uid="{1F499A77-DFA3-4307-99BF-F18250A1BA79}">
      <formula1>"Annually,Monthly"</formula1>
    </dataValidation>
  </dataValidations>
  <hyperlinks>
    <hyperlink ref="C1" location="'Total Expenses'!A1" tooltip="back to Total Expenses" display="'Total Expenses'!A1" xr:uid="{82FD6F2F-DB7C-4390-ADE5-AEC998266FBD}"/>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5E68C-6127-42D4-A365-4614B15DD170}">
  <sheetPr codeName="Sheet8"/>
  <dimension ref="A1:G39"/>
  <sheetViews>
    <sheetView showGridLines="0" workbookViewId="0">
      <selection activeCell="C9" sqref="C9"/>
    </sheetView>
  </sheetViews>
  <sheetFormatPr defaultRowHeight="12.75" x14ac:dyDescent="0.2"/>
  <cols>
    <col min="1" max="1" width="36.7109375" customWidth="1"/>
    <col min="2" max="2" width="16.7109375" customWidth="1"/>
    <col min="3" max="3" width="32.7109375" customWidth="1"/>
    <col min="4" max="4" width="2.7109375" customWidth="1"/>
    <col min="5" max="5" width="36.7109375" customWidth="1"/>
    <col min="6" max="6" width="16.7109375" customWidth="1"/>
    <col min="7" max="8" width="2.7109375" customWidth="1"/>
  </cols>
  <sheetData>
    <row r="1" spans="1:7" ht="36" customHeight="1" x14ac:dyDescent="0.2">
      <c r="A1" s="9" t="s">
        <v>3</v>
      </c>
      <c r="B1" s="8">
        <f>SUM(B3:B21)/IF(F2="Annually",12,1)</f>
        <v>0</v>
      </c>
      <c r="C1" s="150" t="str">
        <f>"← back to "&amp;'Total Expenses'!$A$1</f>
        <v>← back to Total Expenses</v>
      </c>
      <c r="D1" s="67"/>
      <c r="E1" s="67"/>
      <c r="F1" s="67"/>
      <c r="G1" s="67"/>
    </row>
    <row r="2" spans="1:7" ht="36" customHeight="1" x14ac:dyDescent="0.2">
      <c r="A2" s="14"/>
      <c r="B2" s="15"/>
      <c r="D2" s="67"/>
      <c r="E2" s="95" t="s">
        <v>205</v>
      </c>
      <c r="F2" s="205" t="s">
        <v>206</v>
      </c>
      <c r="G2" s="67"/>
    </row>
    <row r="3" spans="1:7" ht="24" customHeight="1" x14ac:dyDescent="0.2">
      <c r="A3" s="197" t="s">
        <v>197</v>
      </c>
      <c r="B3" s="234">
        <f>'Debt Payments'!B5</f>
        <v>0</v>
      </c>
      <c r="C3" s="156" t="s">
        <v>190</v>
      </c>
      <c r="D3" s="68"/>
      <c r="E3" s="33" t="str">
        <f>A5&amp;" (details)"</f>
        <v>Regular maintenance (details)</v>
      </c>
      <c r="F3" s="32">
        <f>SUM(F4:F11)</f>
        <v>0</v>
      </c>
      <c r="G3" s="67"/>
    </row>
    <row r="4" spans="1:7" ht="24" customHeight="1" x14ac:dyDescent="0.2">
      <c r="A4" s="197" t="s">
        <v>183</v>
      </c>
      <c r="B4" s="234">
        <f>'Expenses (3)'!B4*IF(F2="Annually",12,1)</f>
        <v>0</v>
      </c>
      <c r="C4" s="156" t="s">
        <v>182</v>
      </c>
      <c r="D4" s="68"/>
      <c r="E4" s="197" t="s">
        <v>179</v>
      </c>
      <c r="F4" s="200">
        <v>0</v>
      </c>
      <c r="G4" s="67"/>
    </row>
    <row r="5" spans="1:7" ht="24" customHeight="1" x14ac:dyDescent="0.2">
      <c r="A5" s="197" t="s">
        <v>16</v>
      </c>
      <c r="B5" s="234">
        <f>F3</f>
        <v>0</v>
      </c>
      <c r="C5" s="156" t="s">
        <v>199</v>
      </c>
      <c r="D5" s="68"/>
      <c r="E5" s="197" t="s">
        <v>19</v>
      </c>
      <c r="F5" s="200">
        <v>0</v>
      </c>
      <c r="G5" s="67"/>
    </row>
    <row r="6" spans="1:7" ht="24" customHeight="1" x14ac:dyDescent="0.2">
      <c r="A6" s="197" t="s">
        <v>17</v>
      </c>
      <c r="B6" s="234">
        <f>F13</f>
        <v>0</v>
      </c>
      <c r="C6" s="156" t="s">
        <v>199</v>
      </c>
      <c r="D6" s="68"/>
      <c r="E6" s="197" t="s">
        <v>181</v>
      </c>
      <c r="F6" s="200">
        <v>0</v>
      </c>
      <c r="G6" s="67"/>
    </row>
    <row r="7" spans="1:7" ht="24" customHeight="1" x14ac:dyDescent="0.2">
      <c r="A7" s="197" t="s">
        <v>173</v>
      </c>
      <c r="B7" s="234">
        <f>F21</f>
        <v>0</v>
      </c>
      <c r="C7" s="156" t="s">
        <v>199</v>
      </c>
      <c r="D7" s="68"/>
      <c r="E7" s="197" t="s">
        <v>93</v>
      </c>
      <c r="F7" s="200">
        <v>0</v>
      </c>
      <c r="G7" s="67"/>
    </row>
    <row r="8" spans="1:7" ht="24" customHeight="1" x14ac:dyDescent="0.2">
      <c r="A8" s="197" t="s">
        <v>1</v>
      </c>
      <c r="B8" s="200">
        <v>0</v>
      </c>
      <c r="C8" s="156"/>
      <c r="D8" s="68"/>
      <c r="E8" s="197"/>
      <c r="F8" s="200"/>
      <c r="G8" s="67"/>
    </row>
    <row r="9" spans="1:7" ht="24" customHeight="1" x14ac:dyDescent="0.2">
      <c r="A9" s="197" t="s">
        <v>15</v>
      </c>
      <c r="B9" s="200">
        <v>0</v>
      </c>
      <c r="C9" s="156"/>
      <c r="D9" s="68"/>
      <c r="E9" s="197"/>
      <c r="F9" s="200"/>
      <c r="G9" s="67"/>
    </row>
    <row r="10" spans="1:7" ht="24" customHeight="1" x14ac:dyDescent="0.2">
      <c r="A10" s="197" t="s">
        <v>198</v>
      </c>
      <c r="B10" s="200">
        <v>0</v>
      </c>
      <c r="C10" s="156"/>
      <c r="D10" s="68"/>
      <c r="E10" s="197"/>
      <c r="F10" s="200"/>
      <c r="G10" s="67"/>
    </row>
    <row r="11" spans="1:7" ht="24" customHeight="1" x14ac:dyDescent="0.2">
      <c r="A11" s="197"/>
      <c r="B11" s="200"/>
      <c r="C11" s="156"/>
      <c r="D11" s="68"/>
      <c r="E11" s="197"/>
      <c r="F11" s="200"/>
      <c r="G11" s="67"/>
    </row>
    <row r="12" spans="1:7" ht="24" customHeight="1" x14ac:dyDescent="0.2">
      <c r="A12" s="197"/>
      <c r="B12" s="200"/>
      <c r="C12" s="156"/>
      <c r="D12" s="68"/>
      <c r="E12" s="67"/>
      <c r="F12" s="67"/>
      <c r="G12" s="67"/>
    </row>
    <row r="13" spans="1:7" ht="24" customHeight="1" x14ac:dyDescent="0.2">
      <c r="A13" s="197"/>
      <c r="B13" s="200"/>
      <c r="C13" s="156"/>
      <c r="D13" s="68"/>
      <c r="E13" s="31" t="str">
        <f>A6&amp;" (details)"</f>
        <v>Repairs (details)</v>
      </c>
      <c r="F13" s="32">
        <f>SUM(F14:F20)</f>
        <v>0</v>
      </c>
      <c r="G13" s="67"/>
    </row>
    <row r="14" spans="1:7" ht="24" customHeight="1" x14ac:dyDescent="0.2">
      <c r="A14" s="197"/>
      <c r="B14" s="200"/>
      <c r="C14" s="156"/>
      <c r="D14" s="68"/>
      <c r="E14" s="197" t="s">
        <v>180</v>
      </c>
      <c r="F14" s="200">
        <v>0</v>
      </c>
      <c r="G14" s="67"/>
    </row>
    <row r="15" spans="1:7" ht="24" customHeight="1" x14ac:dyDescent="0.2">
      <c r="A15" s="197"/>
      <c r="B15" s="200"/>
      <c r="C15" s="156"/>
      <c r="D15" s="68"/>
      <c r="E15" s="197" t="s">
        <v>18</v>
      </c>
      <c r="F15" s="200">
        <v>0</v>
      </c>
      <c r="G15" s="67"/>
    </row>
    <row r="16" spans="1:7" ht="24" customHeight="1" x14ac:dyDescent="0.2">
      <c r="A16" s="197"/>
      <c r="B16" s="200"/>
      <c r="C16" s="156"/>
      <c r="D16" s="68"/>
      <c r="E16" s="197"/>
      <c r="F16" s="200"/>
      <c r="G16" s="67"/>
    </row>
    <row r="17" spans="1:7" ht="24" customHeight="1" x14ac:dyDescent="0.2">
      <c r="A17" s="197"/>
      <c r="B17" s="200"/>
      <c r="C17" s="156"/>
      <c r="D17" s="68"/>
      <c r="E17" s="197"/>
      <c r="F17" s="200"/>
      <c r="G17" s="67"/>
    </row>
    <row r="18" spans="1:7" ht="24" customHeight="1" x14ac:dyDescent="0.2">
      <c r="A18" s="197"/>
      <c r="B18" s="200"/>
      <c r="C18" s="156"/>
      <c r="D18" s="68"/>
      <c r="E18" s="197"/>
      <c r="F18" s="200"/>
      <c r="G18" s="67"/>
    </row>
    <row r="19" spans="1:7" ht="24" customHeight="1" x14ac:dyDescent="0.2">
      <c r="A19" s="197"/>
      <c r="B19" s="200"/>
      <c r="C19" s="156"/>
      <c r="D19" s="68"/>
      <c r="E19" s="203" t="s">
        <v>93</v>
      </c>
      <c r="F19" s="204">
        <v>0</v>
      </c>
      <c r="G19" s="67"/>
    </row>
    <row r="20" spans="1:7" ht="24" customHeight="1" x14ac:dyDescent="0.2">
      <c r="A20" s="197"/>
      <c r="B20" s="200"/>
      <c r="C20" s="156"/>
      <c r="D20" s="68"/>
      <c r="E20" s="69"/>
      <c r="F20" s="70"/>
      <c r="G20" s="67"/>
    </row>
    <row r="21" spans="1:7" ht="24" customHeight="1" x14ac:dyDescent="0.2">
      <c r="A21" s="197"/>
      <c r="B21" s="200"/>
      <c r="C21" s="156"/>
      <c r="D21" s="67"/>
      <c r="E21" s="31" t="str">
        <f>A7&amp;" (details)"</f>
        <v>Other (details)</v>
      </c>
      <c r="F21" s="32">
        <f>SUM(F22:F27)</f>
        <v>0</v>
      </c>
      <c r="G21" s="67"/>
    </row>
    <row r="22" spans="1:7" ht="24" customHeight="1" x14ac:dyDescent="0.2">
      <c r="A22" s="43"/>
      <c r="B22" s="45"/>
      <c r="D22" s="67"/>
      <c r="E22" s="197" t="s">
        <v>93</v>
      </c>
      <c r="F22" s="200">
        <v>0</v>
      </c>
      <c r="G22" s="67"/>
    </row>
    <row r="23" spans="1:7" ht="24" customHeight="1" x14ac:dyDescent="0.2">
      <c r="A23" s="43"/>
      <c r="B23" s="45"/>
      <c r="D23" s="67"/>
      <c r="E23" s="197"/>
      <c r="F23" s="200"/>
      <c r="G23" s="67"/>
    </row>
    <row r="24" spans="1:7" ht="24" customHeight="1" x14ac:dyDescent="0.2">
      <c r="A24" s="43"/>
      <c r="B24" s="45"/>
      <c r="D24" s="67"/>
      <c r="E24" s="197"/>
      <c r="F24" s="200"/>
      <c r="G24" s="67"/>
    </row>
    <row r="25" spans="1:7" ht="24" customHeight="1" x14ac:dyDescent="0.2">
      <c r="A25" s="43"/>
      <c r="B25" s="45"/>
      <c r="D25" s="67"/>
      <c r="E25" s="197"/>
      <c r="F25" s="200"/>
      <c r="G25" s="67"/>
    </row>
    <row r="26" spans="1:7" ht="24" customHeight="1" x14ac:dyDescent="0.2">
      <c r="A26" s="43"/>
      <c r="B26" s="45"/>
      <c r="D26" s="67"/>
      <c r="E26" s="197"/>
      <c r="F26" s="200"/>
      <c r="G26" s="67"/>
    </row>
    <row r="27" spans="1:7" ht="24" customHeight="1" x14ac:dyDescent="0.2">
      <c r="A27" s="43"/>
      <c r="B27" s="45"/>
      <c r="D27" s="67"/>
      <c r="E27" s="203"/>
      <c r="F27" s="204"/>
      <c r="G27" s="67"/>
    </row>
    <row r="28" spans="1:7" ht="24" customHeight="1" x14ac:dyDescent="0.2">
      <c r="A28" s="43"/>
      <c r="B28" s="45"/>
      <c r="D28" s="67"/>
      <c r="E28" s="67"/>
      <c r="F28" s="67"/>
      <c r="G28" s="67"/>
    </row>
    <row r="29" spans="1:7" ht="24" customHeight="1" x14ac:dyDescent="0.2">
      <c r="A29" s="6"/>
      <c r="B29" s="61"/>
    </row>
    <row r="30" spans="1:7" ht="24" customHeight="1" x14ac:dyDescent="0.2">
      <c r="A30" s="6"/>
      <c r="B30" s="61"/>
    </row>
    <row r="31" spans="1:7" ht="24" customHeight="1" x14ac:dyDescent="0.2">
      <c r="A31" s="6"/>
      <c r="B31" s="61"/>
    </row>
    <row r="32" spans="1:7" ht="24" customHeight="1" x14ac:dyDescent="0.2">
      <c r="A32" s="6"/>
      <c r="B32" s="61"/>
    </row>
    <row r="33" spans="1:2" ht="24" customHeight="1" x14ac:dyDescent="0.2">
      <c r="A33" s="6"/>
      <c r="B33" s="61"/>
    </row>
    <row r="34" spans="1:2" ht="24" customHeight="1" x14ac:dyDescent="0.2">
      <c r="A34" s="6"/>
      <c r="B34" s="61"/>
    </row>
    <row r="35" spans="1:2" ht="24" customHeight="1" x14ac:dyDescent="0.2">
      <c r="A35" s="6"/>
      <c r="B35" s="61"/>
    </row>
    <row r="36" spans="1:2" ht="24" customHeight="1" x14ac:dyDescent="0.2">
      <c r="A36" s="6"/>
      <c r="B36" s="61"/>
    </row>
    <row r="37" spans="1:2" ht="24" customHeight="1" x14ac:dyDescent="0.2">
      <c r="A37" s="6"/>
      <c r="B37" s="61"/>
    </row>
    <row r="38" spans="1:2" ht="24" customHeight="1" x14ac:dyDescent="0.2">
      <c r="A38" s="6"/>
      <c r="B38" s="61"/>
    </row>
    <row r="39" spans="1:2" ht="24" customHeight="1" x14ac:dyDescent="0.2">
      <c r="A39" s="6"/>
      <c r="B39" s="61"/>
    </row>
  </sheetData>
  <sheetProtection algorithmName="SHA-512" hashValue="Su7gutHm7oinIEACh9pS86+ffc3VY8wKEaRD3LQBHF94HoH2n7UFm/DGRKl/2vGrlehqQvPHKzH/oG4WuH/TCA==" saltValue="lMmZwiA/xcribYCtQ2a71Q==" spinCount="100000" sheet="1" objects="1" scenarios="1"/>
  <conditionalFormatting sqref="C1 C3:D3 D4:D20 C4:C21">
    <cfRule type="notContainsBlanks" dxfId="23" priority="1">
      <formula>LEN(TRIM(C1))&gt;0</formula>
    </cfRule>
  </conditionalFormatting>
  <dataValidations count="1">
    <dataValidation type="list" allowBlank="1" showInputMessage="1" showErrorMessage="1" sqref="F2" xr:uid="{CBA81B02-A5A0-4286-AC24-2335482D4666}">
      <formula1>"Annually,Monthly"</formula1>
    </dataValidation>
  </dataValidations>
  <hyperlinks>
    <hyperlink ref="C1" location="'Total Expenses'!A1" display="'Total Expenses'!A1" xr:uid="{7F647612-DFF9-4CD3-939F-5C2DE5C3218C}"/>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44A24-AC48-45B9-B763-58EE96385605}">
  <sheetPr codeName="Sheet9"/>
  <dimension ref="A1:E39"/>
  <sheetViews>
    <sheetView showGridLines="0" workbookViewId="0">
      <selection activeCell="B22" sqref="B22"/>
    </sheetView>
  </sheetViews>
  <sheetFormatPr defaultRowHeight="12.75" x14ac:dyDescent="0.2"/>
  <cols>
    <col min="1" max="1" width="36.7109375" customWidth="1"/>
    <col min="2" max="4" width="16.7109375" customWidth="1"/>
    <col min="5" max="5" width="56.7109375" customWidth="1"/>
  </cols>
  <sheetData>
    <row r="1" spans="1:5" ht="36" customHeight="1" x14ac:dyDescent="0.2">
      <c r="A1" s="9" t="s">
        <v>10</v>
      </c>
      <c r="B1" s="8">
        <f>SUM(B6:B14)+IF('Expenses (2)'!C4="Include in Insurance,Insurance!B4,0)+if(Housing!C13=""Include in Insurance",'Expenses (3)'!B5,0)</f>
        <v>675</v>
      </c>
      <c r="C1" s="296" t="str">
        <f>"← back to "&amp;'Total Expenses'!$A$1</f>
        <v>← back to Total Expenses</v>
      </c>
      <c r="D1" s="297"/>
      <c r="E1" s="95" t="s">
        <v>382</v>
      </c>
    </row>
    <row r="2" spans="1:5" ht="36" customHeight="1" x14ac:dyDescent="0.2">
      <c r="A2" s="10"/>
      <c r="B2" s="11"/>
      <c r="C2" s="11"/>
      <c r="D2" s="11"/>
    </row>
    <row r="3" spans="1:5" ht="24" customHeight="1" x14ac:dyDescent="0.2">
      <c r="A3" s="13"/>
      <c r="B3" s="12" t="s">
        <v>37</v>
      </c>
      <c r="C3" s="12" t="s">
        <v>36</v>
      </c>
      <c r="D3" s="12" t="s">
        <v>38</v>
      </c>
      <c r="E3" s="34"/>
    </row>
    <row r="4" spans="1:5" ht="24" customHeight="1" x14ac:dyDescent="0.2">
      <c r="A4" s="72" t="s">
        <v>183</v>
      </c>
      <c r="B4" s="179">
        <v>0</v>
      </c>
      <c r="C4" s="251">
        <v>0</v>
      </c>
      <c r="D4" s="179"/>
      <c r="E4" s="156" t="s">
        <v>380</v>
      </c>
    </row>
    <row r="5" spans="1:5" ht="24" customHeight="1" x14ac:dyDescent="0.2">
      <c r="A5" s="62" t="s">
        <v>184</v>
      </c>
      <c r="B5" s="157">
        <v>0</v>
      </c>
      <c r="C5" s="252">
        <v>0</v>
      </c>
      <c r="D5" s="253"/>
      <c r="E5" s="156" t="s">
        <v>381</v>
      </c>
    </row>
    <row r="6" spans="1:5" ht="24" customHeight="1" x14ac:dyDescent="0.2">
      <c r="A6" s="62" t="s">
        <v>185</v>
      </c>
      <c r="B6" s="157">
        <v>0</v>
      </c>
      <c r="C6" s="254"/>
      <c r="D6" s="155"/>
      <c r="E6" s="156"/>
    </row>
    <row r="7" spans="1:5" ht="24" customHeight="1" x14ac:dyDescent="0.2">
      <c r="A7" s="65" t="s">
        <v>210</v>
      </c>
      <c r="B7" s="155">
        <v>0</v>
      </c>
      <c r="C7" s="254"/>
      <c r="D7" s="155"/>
      <c r="E7" s="156"/>
    </row>
    <row r="8" spans="1:5" ht="24" customHeight="1" x14ac:dyDescent="0.2">
      <c r="A8" s="65" t="s">
        <v>209</v>
      </c>
      <c r="B8" s="155">
        <v>0</v>
      </c>
      <c r="C8" s="254"/>
      <c r="D8" s="155"/>
      <c r="E8" s="156"/>
    </row>
    <row r="9" spans="1:5" ht="24" customHeight="1" x14ac:dyDescent="0.2">
      <c r="A9" s="65" t="s">
        <v>186</v>
      </c>
      <c r="B9" s="155">
        <v>0</v>
      </c>
      <c r="C9" s="254"/>
      <c r="D9" s="155"/>
      <c r="E9" s="156"/>
    </row>
    <row r="10" spans="1:5" ht="24" customHeight="1" x14ac:dyDescent="0.2">
      <c r="A10" s="62" t="s">
        <v>187</v>
      </c>
      <c r="B10" s="157">
        <v>0</v>
      </c>
      <c r="C10" s="254"/>
      <c r="D10" s="155"/>
      <c r="E10" s="156"/>
    </row>
    <row r="11" spans="1:5" ht="24" customHeight="1" x14ac:dyDescent="0.2">
      <c r="A11" s="62" t="s">
        <v>188</v>
      </c>
      <c r="B11" s="157">
        <v>0</v>
      </c>
      <c r="C11" s="254"/>
      <c r="D11" s="155"/>
      <c r="E11" s="156"/>
    </row>
    <row r="12" spans="1:5" ht="24" customHeight="1" x14ac:dyDescent="0.2">
      <c r="A12" s="62" t="s">
        <v>189</v>
      </c>
      <c r="B12" s="157">
        <v>0</v>
      </c>
      <c r="C12" s="254"/>
      <c r="D12" s="155"/>
      <c r="E12" s="156"/>
    </row>
    <row r="13" spans="1:5" ht="24" customHeight="1" x14ac:dyDescent="0.2">
      <c r="A13" s="62" t="s">
        <v>173</v>
      </c>
      <c r="B13" s="157">
        <v>0</v>
      </c>
      <c r="C13" s="254"/>
      <c r="D13" s="155"/>
      <c r="E13" s="156"/>
    </row>
    <row r="14" spans="1:5" ht="24" customHeight="1" x14ac:dyDescent="0.2">
      <c r="A14" s="62" t="s">
        <v>154</v>
      </c>
      <c r="B14" s="157">
        <f>8100/12</f>
        <v>675</v>
      </c>
      <c r="C14" s="254">
        <v>5600</v>
      </c>
      <c r="D14" s="155">
        <v>4100</v>
      </c>
      <c r="E14" s="156" t="s">
        <v>145</v>
      </c>
    </row>
    <row r="15" spans="1:5" ht="24" customHeight="1" x14ac:dyDescent="0.2">
      <c r="E15" s="60"/>
    </row>
    <row r="16" spans="1:5" ht="24" customHeight="1" x14ac:dyDescent="0.2">
      <c r="A16" s="91" t="s">
        <v>97</v>
      </c>
      <c r="B16" s="243">
        <f>SUM(B17:B21)</f>
        <v>400</v>
      </c>
      <c r="C16" s="243">
        <f>SUM(C17:C21)</f>
        <v>240</v>
      </c>
      <c r="D16" s="243">
        <f>SUM(D17:D21)</f>
        <v>3500</v>
      </c>
    </row>
    <row r="17" spans="1:5" ht="24" customHeight="1" x14ac:dyDescent="0.2">
      <c r="A17" s="65" t="s">
        <v>99</v>
      </c>
      <c r="B17" s="66">
        <v>0</v>
      </c>
      <c r="C17" s="74"/>
      <c r="D17" s="66"/>
      <c r="E17" s="156" t="s">
        <v>350</v>
      </c>
    </row>
    <row r="18" spans="1:5" ht="24" customHeight="1" x14ac:dyDescent="0.2">
      <c r="A18" s="62" t="s">
        <v>100</v>
      </c>
      <c r="B18" s="66">
        <v>220</v>
      </c>
      <c r="C18" s="75">
        <v>240</v>
      </c>
      <c r="D18" s="66"/>
      <c r="E18" s="156"/>
    </row>
    <row r="19" spans="1:5" ht="24" customHeight="1" x14ac:dyDescent="0.2">
      <c r="A19" s="62" t="s">
        <v>101</v>
      </c>
      <c r="B19" s="157"/>
      <c r="C19" s="256"/>
      <c r="D19" s="157"/>
      <c r="E19" s="156" t="s">
        <v>160</v>
      </c>
    </row>
    <row r="20" spans="1:5" ht="24" customHeight="1" x14ac:dyDescent="0.2">
      <c r="A20" s="62" t="s">
        <v>102</v>
      </c>
      <c r="B20" s="157">
        <v>55</v>
      </c>
      <c r="C20" s="256"/>
      <c r="D20" s="157">
        <v>3500</v>
      </c>
      <c r="E20" s="156"/>
    </row>
    <row r="21" spans="1:5" ht="24" customHeight="1" x14ac:dyDescent="0.2">
      <c r="A21" s="62" t="s">
        <v>159</v>
      </c>
      <c r="B21" s="157">
        <v>125</v>
      </c>
      <c r="C21" s="256"/>
      <c r="D21" s="257"/>
      <c r="E21" s="156" t="s">
        <v>158</v>
      </c>
    </row>
    <row r="22" spans="1:5" ht="24" customHeight="1" x14ac:dyDescent="0.2">
      <c r="E22" s="60"/>
    </row>
    <row r="23" spans="1:5" ht="24" customHeight="1" x14ac:dyDescent="0.2">
      <c r="A23" s="62" t="s">
        <v>155</v>
      </c>
      <c r="B23" s="255" t="s">
        <v>153</v>
      </c>
      <c r="C23" s="82"/>
      <c r="D23" s="82"/>
      <c r="E23" s="60"/>
    </row>
    <row r="24" spans="1:5" ht="24" customHeight="1" x14ac:dyDescent="0.2"/>
    <row r="25" spans="1:5" ht="24" customHeight="1" x14ac:dyDescent="0.2"/>
    <row r="26" spans="1:5" ht="24" customHeight="1" x14ac:dyDescent="0.2"/>
    <row r="27" spans="1:5" ht="24" customHeight="1" x14ac:dyDescent="0.2"/>
    <row r="28" spans="1:5" ht="24" customHeight="1" x14ac:dyDescent="0.2"/>
    <row r="29" spans="1:5" ht="24" customHeight="1" x14ac:dyDescent="0.2"/>
    <row r="30" spans="1:5" ht="24" customHeight="1" x14ac:dyDescent="0.2"/>
    <row r="31" spans="1:5" ht="24" customHeight="1" x14ac:dyDescent="0.2"/>
    <row r="32" spans="1:5" ht="24" customHeight="1" x14ac:dyDescent="0.2"/>
    <row r="33" ht="24" customHeight="1" x14ac:dyDescent="0.2"/>
    <row r="34" ht="24" customHeight="1" x14ac:dyDescent="0.2"/>
    <row r="35" ht="24" customHeight="1" x14ac:dyDescent="0.2"/>
    <row r="36" ht="24" customHeight="1" x14ac:dyDescent="0.2"/>
    <row r="37" ht="24" customHeight="1" x14ac:dyDescent="0.2"/>
    <row r="38" ht="24" customHeight="1" x14ac:dyDescent="0.2"/>
    <row r="39" ht="24" customHeight="1" x14ac:dyDescent="0.2"/>
  </sheetData>
  <sheetProtection algorithmName="SHA-512" hashValue="CrzpcSbFhw7T1jeE/tDh5xiTgr21I/F18A4i0MM2Az+gGDCoLgiiRWZNoChBEi4XnjRR5peDHNo6PXEnzZAf0g==" saltValue="yGR28/YZ9LWymM92KYyL4Q==" spinCount="100000" sheet="1" objects="1" scenarios="1"/>
  <mergeCells count="1">
    <mergeCell ref="C1:D1"/>
  </mergeCells>
  <conditionalFormatting sqref="C1 E17:E23">
    <cfRule type="notContainsBlanks" dxfId="22" priority="4">
      <formula>LEN(TRIM(C1))&gt;0</formula>
    </cfRule>
  </conditionalFormatting>
  <conditionalFormatting sqref="E4:E15">
    <cfRule type="notContainsBlanks" dxfId="21" priority="1">
      <formula>LEN(TRIM(E4))&gt;0</formula>
    </cfRule>
  </conditionalFormatting>
  <hyperlinks>
    <hyperlink ref="C1" location="'Total Expenses'!A1" display="'Total Expenses'!A1" xr:uid="{9ADBFF2D-F75D-4A34-B3A2-B388F2BE9A89}"/>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13CF4A0-B11D-4639-BF8D-D36CF899F80D}">
          <x14:formula1>
            <xm:f>Tables!$L$38:$L$40</xm:f>
          </x14:formula1>
          <xm:sqref>B23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4" ma:contentTypeDescription="Create a new document." ma:contentTypeScope="" ma:versionID="2d714a3296df14eba7a100bb665443ca">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49549bf45bfbbfb6cffed527380e77e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B32255-829E-4256-99CD-7E2F649A5647}">
  <ds:schemaRefs>
    <ds:schemaRef ds:uri="http://schemas.microsoft.com/office/2006/metadata/contentType"/>
    <ds:schemaRef ds:uri="http://schemas.microsoft.com/office/2006/metadata/properties/metaAttributes"/>
    <ds:schemaRef ds:uri="http://www.w3.org/2000/xmlns/"/>
    <ds:schemaRef ds:uri="http://www.w3.org/2001/XMLSchema"/>
    <ds:schemaRef ds:uri="http://schemas.microsoft.com/sharepoint/v3"/>
    <ds:schemaRef ds:uri="71af3243-3dd4-4a8d-8c0d-dd76da1f02a5"/>
    <ds:schemaRef ds:uri="16c05727-aa75-4e4a-9b5f-8a80a1165891"/>
    <ds:schemaRef ds:uri="230e9df3-be65-4c73-a93b-d1236ebd677e"/>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78E509-ED43-4A65-A6F5-A470BB43C052}">
  <ds:schemaRefs>
    <ds:schemaRef ds:uri="http://purl.org/dc/dcmitype/"/>
    <ds:schemaRef ds:uri="http://purl.org/dc/elements/1.1/"/>
    <ds:schemaRef ds:uri="16c05727-aa75-4e4a-9b5f-8a80a1165891"/>
    <ds:schemaRef ds:uri="71af3243-3dd4-4a8d-8c0d-dd76da1f02a5"/>
    <ds:schemaRef ds:uri="http://schemas.openxmlformats.org/package/2006/metadata/core-properties"/>
    <ds:schemaRef ds:uri="http://www.w3.org/XML/1998/namespace"/>
    <ds:schemaRef ds:uri="http://schemas.microsoft.com/office/2006/documentManagement/types"/>
    <ds:schemaRef ds:uri="http://schemas.microsoft.com/sharepoint/v3"/>
    <ds:schemaRef ds:uri="http://purl.org/dc/terms/"/>
    <ds:schemaRef ds:uri="http://schemas.microsoft.com/office/infopath/2007/PartnerControls"/>
    <ds:schemaRef ds:uri="230e9df3-be65-4c73-a93b-d1236ebd677e"/>
    <ds:schemaRef ds:uri="http://schemas.microsoft.com/office/2006/metadata/properties"/>
  </ds:schemaRefs>
</ds:datastoreItem>
</file>

<file path=customXml/itemProps3.xml><?xml version="1.0" encoding="utf-8"?>
<ds:datastoreItem xmlns:ds="http://schemas.openxmlformats.org/officeDocument/2006/customXml" ds:itemID="{46F2D2A0-7336-4B8B-AC44-03EBE7DA9AF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TM33398600</Template>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Welcome</vt:lpstr>
      <vt:lpstr>retirement income vs spending</vt:lpstr>
      <vt:lpstr>Total Savings</vt:lpstr>
      <vt:lpstr>Total Income</vt:lpstr>
      <vt:lpstr>Total Expenses</vt:lpstr>
      <vt:lpstr>Assumptions</vt:lpstr>
      <vt:lpstr>Expenses (1)</vt:lpstr>
      <vt:lpstr>Expenses (2)</vt:lpstr>
      <vt:lpstr>Expenses (3)</vt:lpstr>
      <vt:lpstr>Expenses (4)</vt:lpstr>
      <vt:lpstr>Expenses (5)</vt:lpstr>
      <vt:lpstr>Expenses (6)</vt:lpstr>
      <vt:lpstr>Expenses (7)</vt:lpstr>
      <vt:lpstr>Expenses (8)</vt:lpstr>
      <vt:lpstr>Debt Payments</vt:lpstr>
      <vt:lpstr>Projections</vt:lpstr>
      <vt:lpstr>Charts</vt:lpstr>
      <vt:lpstr>Tables</vt:lpstr>
      <vt:lpstr>MedicalPlanUtilizationOptions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Jason Gladden</cp:lastModifiedBy>
  <dcterms:created xsi:type="dcterms:W3CDTF">2021-12-14T04:46:23Z</dcterms:created>
  <dcterms:modified xsi:type="dcterms:W3CDTF">2025-11-12T12:49:47Z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